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Rafael Remedi\ownCloud - rafael_remedi@owncloud.santana.ifsul.edu.br\COGEA\GESTÃO DE CONTRATOS\Diversos\AEQUIPE DE PLANEJAMENTO\6 Limpeza 2024 - Pregão\Versões Finais\"/>
    </mc:Choice>
  </mc:AlternateContent>
  <xr:revisionPtr revIDLastSave="0" documentId="13_ncr:1_{05E496EA-5E56-4B68-9C29-3419FBB88A6A}" xr6:coauthVersionLast="47" xr6:coauthVersionMax="47" xr10:uidLastSave="{00000000-0000-0000-0000-000000000000}"/>
  <bookViews>
    <workbookView xWindow="-108" yWindow="-108" windowWidth="23256" windowHeight="12456" tabRatio="500" activeTab="2" xr2:uid="{00000000-000D-0000-FFFF-FFFF00000000}"/>
  </bookViews>
  <sheets>
    <sheet name="RESUMO" sheetId="1" r:id="rId1"/>
    <sheet name="Servente 20%" sheetId="2" r:id="rId2"/>
    <sheet name="Servente 40%" sheetId="3" r:id="rId3"/>
    <sheet name="INSUMOS" sheetId="4" r:id="rId4"/>
  </sheets>
  <definedNames>
    <definedName name="_xlnm.Print_Area" localSheetId="3">INSUMOS!$A$1:$J$103</definedName>
    <definedName name="_xlnm.Print_Area" localSheetId="0">RESUMO!$A$1:$L$24</definedName>
    <definedName name="_xlnm.Print_Area" localSheetId="1">'Servente 20%'!$A$1:$L$262</definedName>
    <definedName name="_xlnm.Print_Area" localSheetId="2">'Servente 40%'!$A$1:$L$258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9" i="4" l="1"/>
  <c r="E10" i="4"/>
  <c r="E11" i="4"/>
  <c r="E12" i="4"/>
  <c r="E13" i="4"/>
  <c r="E14" i="4"/>
  <c r="E15" i="4"/>
  <c r="E16" i="4"/>
  <c r="E17" i="4"/>
  <c r="E18" i="4"/>
  <c r="E19" i="4"/>
  <c r="E20" i="4"/>
  <c r="E38" i="4"/>
  <c r="E39" i="4"/>
  <c r="E21" i="4"/>
  <c r="E22" i="4"/>
  <c r="E23" i="4"/>
  <c r="E24" i="4"/>
  <c r="E25" i="4"/>
  <c r="E26" i="4"/>
  <c r="E27" i="4"/>
  <c r="E28" i="4"/>
  <c r="E30" i="4"/>
  <c r="E40" i="4"/>
  <c r="E41" i="4"/>
  <c r="E42" i="4"/>
  <c r="E43" i="4"/>
  <c r="E44" i="4"/>
  <c r="E31" i="4"/>
  <c r="E45" i="4"/>
  <c r="E46" i="4"/>
  <c r="E32" i="4"/>
  <c r="E47" i="4"/>
  <c r="E33" i="4"/>
  <c r="E34" i="4"/>
  <c r="E48" i="4"/>
  <c r="E49" i="4"/>
  <c r="E50" i="4"/>
  <c r="E35" i="4"/>
  <c r="E51" i="4"/>
  <c r="E52" i="4"/>
  <c r="E53" i="4"/>
  <c r="E54" i="4"/>
  <c r="E55" i="4"/>
  <c r="E56" i="4"/>
  <c r="E57" i="4"/>
  <c r="E58" i="4"/>
  <c r="E59" i="4"/>
  <c r="E8" i="4"/>
  <c r="F8" i="4"/>
  <c r="F59" i="4"/>
  <c r="F58" i="4"/>
  <c r="F224" i="2"/>
  <c r="F223" i="2"/>
  <c r="I219" i="2"/>
  <c r="E85" i="4"/>
  <c r="F85" i="4" s="1"/>
  <c r="E84" i="4"/>
  <c r="F84" i="4" s="1"/>
  <c r="E83" i="4"/>
  <c r="F83" i="4" s="1"/>
  <c r="E82" i="4"/>
  <c r="F82" i="4" s="1"/>
  <c r="E81" i="4"/>
  <c r="F81" i="4" s="1"/>
  <c r="E80" i="4"/>
  <c r="F80" i="4" s="1"/>
  <c r="E79" i="4"/>
  <c r="F79" i="4" s="1"/>
  <c r="G74" i="4"/>
  <c r="F74" i="4"/>
  <c r="G73" i="4"/>
  <c r="F73" i="4"/>
  <c r="G72" i="4"/>
  <c r="F72" i="4"/>
  <c r="G71" i="4"/>
  <c r="F71" i="4"/>
  <c r="G70" i="4"/>
  <c r="F70" i="4"/>
  <c r="G69" i="4"/>
  <c r="F69" i="4"/>
  <c r="G68" i="4"/>
  <c r="F68" i="4"/>
  <c r="G67" i="4"/>
  <c r="F67" i="4"/>
  <c r="G66" i="4"/>
  <c r="F66" i="4"/>
  <c r="G65" i="4"/>
  <c r="F65" i="4"/>
  <c r="F57" i="4"/>
  <c r="F56" i="4"/>
  <c r="F37" i="4"/>
  <c r="D37" i="4"/>
  <c r="E37" i="4" s="1"/>
  <c r="F36" i="4"/>
  <c r="D36" i="4"/>
  <c r="F55" i="4"/>
  <c r="F54" i="4"/>
  <c r="F53" i="4"/>
  <c r="F52" i="4"/>
  <c r="F51" i="4"/>
  <c r="F35" i="4"/>
  <c r="F50" i="4"/>
  <c r="F49" i="4"/>
  <c r="F48" i="4"/>
  <c r="F34" i="4"/>
  <c r="F33" i="4"/>
  <c r="F47" i="4"/>
  <c r="F32" i="4"/>
  <c r="F46" i="4"/>
  <c r="F45" i="4"/>
  <c r="F31" i="4"/>
  <c r="F44" i="4"/>
  <c r="F43" i="4"/>
  <c r="F42" i="4"/>
  <c r="F41" i="4"/>
  <c r="F40" i="4"/>
  <c r="F30" i="4"/>
  <c r="F29" i="4"/>
  <c r="D29" i="4"/>
  <c r="E29" i="4" s="1"/>
  <c r="F28" i="4"/>
  <c r="F27" i="4"/>
  <c r="F26" i="4"/>
  <c r="F25" i="4"/>
  <c r="F24" i="4"/>
  <c r="F23" i="4"/>
  <c r="F22" i="4"/>
  <c r="F21" i="4"/>
  <c r="F39" i="4"/>
  <c r="F38" i="4"/>
  <c r="F20" i="4"/>
  <c r="F19" i="4"/>
  <c r="F18" i="4"/>
  <c r="F17" i="4"/>
  <c r="F16" i="4"/>
  <c r="F15" i="4"/>
  <c r="F14" i="4"/>
  <c r="F13" i="4"/>
  <c r="F12" i="4"/>
  <c r="F11" i="4"/>
  <c r="F10" i="4"/>
  <c r="F9" i="4"/>
  <c r="G9" i="4" s="1"/>
  <c r="J251" i="3"/>
  <c r="J244" i="3"/>
  <c r="J245" i="3" s="1"/>
  <c r="I241" i="3"/>
  <c r="I240" i="3"/>
  <c r="I239" i="3"/>
  <c r="I238" i="3"/>
  <c r="I242" i="3" s="1"/>
  <c r="I235" i="3"/>
  <c r="I234" i="3"/>
  <c r="I231" i="3"/>
  <c r="I230" i="3"/>
  <c r="I229" i="3"/>
  <c r="I228" i="3"/>
  <c r="I227" i="3"/>
  <c r="I226" i="3"/>
  <c r="I225" i="3"/>
  <c r="J225" i="3" s="1"/>
  <c r="I220" i="3"/>
  <c r="I219" i="3"/>
  <c r="I216" i="3"/>
  <c r="I215" i="3"/>
  <c r="G201" i="3"/>
  <c r="G197" i="3"/>
  <c r="J197" i="3" s="1"/>
  <c r="G193" i="3"/>
  <c r="J193" i="3" s="1"/>
  <c r="G189" i="3"/>
  <c r="J189" i="3" s="1"/>
  <c r="J185" i="3"/>
  <c r="G185" i="3"/>
  <c r="G181" i="3"/>
  <c r="J181" i="3" s="1"/>
  <c r="K170" i="3"/>
  <c r="J160" i="3"/>
  <c r="J163" i="3" s="1"/>
  <c r="K93" i="3"/>
  <c r="K99" i="3" s="1"/>
  <c r="K88" i="3"/>
  <c r="K84" i="3"/>
  <c r="J80" i="3"/>
  <c r="G74" i="3"/>
  <c r="J74" i="3" s="1"/>
  <c r="K72" i="3"/>
  <c r="K59" i="3"/>
  <c r="K119" i="3" s="1"/>
  <c r="K57" i="3"/>
  <c r="K58" i="3" s="1"/>
  <c r="K36" i="3"/>
  <c r="K33" i="3"/>
  <c r="K28" i="3"/>
  <c r="I236" i="3" s="1"/>
  <c r="J20" i="3"/>
  <c r="K44" i="3" s="1"/>
  <c r="J255" i="2"/>
  <c r="J248" i="2"/>
  <c r="J249" i="2" s="1"/>
  <c r="I245" i="2"/>
  <c r="I244" i="2"/>
  <c r="I243" i="2"/>
  <c r="I242" i="2"/>
  <c r="I239" i="2"/>
  <c r="I238" i="2"/>
  <c r="I235" i="2"/>
  <c r="I234" i="2"/>
  <c r="I233" i="2"/>
  <c r="I232" i="2"/>
  <c r="I231" i="2"/>
  <c r="I230" i="2"/>
  <c r="I229" i="2"/>
  <c r="I224" i="2"/>
  <c r="I223" i="2"/>
  <c r="I220" i="2"/>
  <c r="G205" i="2"/>
  <c r="G201" i="2"/>
  <c r="J201" i="2" s="1"/>
  <c r="G197" i="2"/>
  <c r="J197" i="2" s="1"/>
  <c r="J193" i="2"/>
  <c r="G193" i="2"/>
  <c r="G189" i="2"/>
  <c r="J189" i="2" s="1"/>
  <c r="G185" i="2"/>
  <c r="J185" i="2" s="1"/>
  <c r="G181" i="2"/>
  <c r="J181" i="2" s="1"/>
  <c r="J163" i="2"/>
  <c r="K88" i="2"/>
  <c r="J74" i="2"/>
  <c r="J80" i="2" s="1"/>
  <c r="K57" i="2"/>
  <c r="K58" i="2" s="1"/>
  <c r="K36" i="2"/>
  <c r="K33" i="2"/>
  <c r="K28" i="2"/>
  <c r="I240" i="2" s="1"/>
  <c r="J20" i="2"/>
  <c r="I236" i="2" s="1"/>
  <c r="I232" i="3" l="1"/>
  <c r="I247" i="3" s="1"/>
  <c r="I246" i="2"/>
  <c r="I251" i="2"/>
  <c r="G28" i="4"/>
  <c r="G21" i="4"/>
  <c r="G54" i="4"/>
  <c r="G35" i="4"/>
  <c r="H71" i="4"/>
  <c r="H73" i="4"/>
  <c r="F86" i="4"/>
  <c r="G8" i="4"/>
  <c r="H74" i="4"/>
  <c r="G56" i="4"/>
  <c r="G59" i="4"/>
  <c r="G50" i="4"/>
  <c r="G19" i="4"/>
  <c r="E36" i="4"/>
  <c r="G36" i="4" s="1"/>
  <c r="G29" i="4"/>
  <c r="G31" i="4"/>
  <c r="G53" i="4"/>
  <c r="G49" i="4"/>
  <c r="G41" i="4"/>
  <c r="G18" i="4"/>
  <c r="G13" i="4"/>
  <c r="G27" i="4"/>
  <c r="G58" i="4"/>
  <c r="G10" i="4"/>
  <c r="G14" i="4"/>
  <c r="G42" i="4"/>
  <c r="G45" i="4"/>
  <c r="G33" i="4"/>
  <c r="G55" i="4"/>
  <c r="H67" i="4"/>
  <c r="G15" i="4"/>
  <c r="G39" i="4"/>
  <c r="G24" i="4"/>
  <c r="G43" i="4"/>
  <c r="G46" i="4"/>
  <c r="G37" i="4"/>
  <c r="H68" i="4"/>
  <c r="G38" i="4"/>
  <c r="H66" i="4"/>
  <c r="G17" i="4"/>
  <c r="G22" i="4"/>
  <c r="G52" i="4"/>
  <c r="G11" i="4"/>
  <c r="G16" i="4"/>
  <c r="G23" i="4"/>
  <c r="G25" i="4"/>
  <c r="G30" i="4"/>
  <c r="G47" i="4"/>
  <c r="G34" i="4"/>
  <c r="H65" i="4"/>
  <c r="H70" i="4"/>
  <c r="H72" i="4"/>
  <c r="K115" i="3"/>
  <c r="G48" i="4"/>
  <c r="K59" i="2"/>
  <c r="K64" i="3"/>
  <c r="K66" i="3" s="1"/>
  <c r="K74" i="3"/>
  <c r="K104" i="3"/>
  <c r="G44" i="4"/>
  <c r="G57" i="4"/>
  <c r="K44" i="2"/>
  <c r="K67" i="3"/>
  <c r="K128" i="3"/>
  <c r="K129" i="3" s="1"/>
  <c r="K134" i="3" s="1"/>
  <c r="K106" i="3"/>
  <c r="K107" i="3" s="1"/>
  <c r="K79" i="3"/>
  <c r="K75" i="3"/>
  <c r="K73" i="3"/>
  <c r="K80" i="3" s="1"/>
  <c r="K98" i="3" s="1"/>
  <c r="K108" i="3"/>
  <c r="K78" i="3"/>
  <c r="K77" i="3"/>
  <c r="K65" i="3"/>
  <c r="K84" i="2"/>
  <c r="K93" i="2" s="1"/>
  <c r="K99" i="2" s="1"/>
  <c r="K128" i="2"/>
  <c r="K129" i="2" s="1"/>
  <c r="K134" i="2" s="1"/>
  <c r="K76" i="3"/>
  <c r="G12" i="4"/>
  <c r="G20" i="4"/>
  <c r="G26" i="4"/>
  <c r="G40" i="4"/>
  <c r="G32" i="4"/>
  <c r="G51" i="4"/>
  <c r="H69" i="4"/>
  <c r="H75" i="4" l="1"/>
  <c r="G60" i="4"/>
  <c r="G61" i="4" s="1"/>
  <c r="K106" i="2"/>
  <c r="K107" i="2" s="1"/>
  <c r="K76" i="2"/>
  <c r="K73" i="2"/>
  <c r="K170" i="2"/>
  <c r="K119" i="2"/>
  <c r="K77" i="2"/>
  <c r="K72" i="2"/>
  <c r="K64" i="2"/>
  <c r="K79" i="2"/>
  <c r="K108" i="2"/>
  <c r="K78" i="2"/>
  <c r="K65" i="2"/>
  <c r="K75" i="2"/>
  <c r="K74" i="2"/>
  <c r="K104" i="2"/>
  <c r="K115" i="2"/>
  <c r="H76" i="4"/>
  <c r="C95" i="4"/>
  <c r="E95" i="4" s="1"/>
  <c r="G95" i="4" s="1"/>
  <c r="K105" i="3"/>
  <c r="K109" i="3" s="1"/>
  <c r="K172" i="3" s="1"/>
  <c r="K68" i="3"/>
  <c r="K97" i="3" s="1"/>
  <c r="K100" i="3" s="1"/>
  <c r="F87" i="4"/>
  <c r="C97" i="4"/>
  <c r="E97" i="4" s="1"/>
  <c r="G97" i="4" s="1"/>
  <c r="K112" i="3"/>
  <c r="C93" i="4" l="1"/>
  <c r="C99" i="4" s="1"/>
  <c r="E99" i="4" s="1"/>
  <c r="K139" i="2"/>
  <c r="K139" i="3"/>
  <c r="K141" i="2"/>
  <c r="K141" i="3"/>
  <c r="K80" i="2"/>
  <c r="K98" i="2" s="1"/>
  <c r="K171" i="3"/>
  <c r="K105" i="2"/>
  <c r="K109" i="2" s="1"/>
  <c r="K172" i="2" s="1"/>
  <c r="K66" i="2"/>
  <c r="K118" i="3"/>
  <c r="K117" i="3"/>
  <c r="K116" i="3"/>
  <c r="K120" i="3"/>
  <c r="K112" i="2"/>
  <c r="E93" i="4" l="1"/>
  <c r="G93" i="4" s="1"/>
  <c r="K140" i="3" s="1"/>
  <c r="K143" i="3" s="1"/>
  <c r="K174" i="3" s="1"/>
  <c r="K121" i="3"/>
  <c r="K118" i="2"/>
  <c r="K117" i="2"/>
  <c r="K116" i="2"/>
  <c r="K121" i="2" s="1"/>
  <c r="K120" i="2"/>
  <c r="K67" i="2"/>
  <c r="K68" i="2" s="1"/>
  <c r="K97" i="2" s="1"/>
  <c r="K100" i="2" s="1"/>
  <c r="G99" i="4" l="1"/>
  <c r="K140" i="2"/>
  <c r="K143" i="2" s="1"/>
  <c r="K174" i="2" s="1"/>
  <c r="K171" i="2"/>
  <c r="K122" i="2"/>
  <c r="K123" i="2" s="1"/>
  <c r="K133" i="2" s="1"/>
  <c r="K135" i="2" s="1"/>
  <c r="K122" i="3"/>
  <c r="K123" i="3" s="1"/>
  <c r="K133" i="3" s="1"/>
  <c r="K135" i="3" s="1"/>
  <c r="K173" i="3" l="1"/>
  <c r="K175" i="3" s="1"/>
  <c r="K147" i="3"/>
  <c r="K148" i="3" s="1"/>
  <c r="K149" i="3" s="1"/>
  <c r="K150" i="3" s="1"/>
  <c r="K173" i="2"/>
  <c r="K147" i="2"/>
  <c r="K148" i="2" s="1"/>
  <c r="K149" i="2" s="1"/>
  <c r="K150" i="2" s="1"/>
  <c r="K151" i="2" s="1"/>
  <c r="K175" i="2"/>
  <c r="K151" i="3" l="1"/>
  <c r="K160" i="3" s="1"/>
  <c r="K155" i="2"/>
  <c r="K160" i="2"/>
  <c r="K154" i="2"/>
  <c r="K154" i="3" l="1"/>
  <c r="K155" i="3"/>
  <c r="K163" i="2"/>
  <c r="K161" i="2"/>
  <c r="K176" i="2" s="1"/>
  <c r="K177" i="2" s="1"/>
  <c r="J223" i="2" s="1"/>
  <c r="K223" i="2" s="1"/>
  <c r="G242" i="2" s="1"/>
  <c r="J242" i="2" s="1"/>
  <c r="K161" i="3" l="1"/>
  <c r="K176" i="3" s="1"/>
  <c r="K177" i="3" s="1"/>
  <c r="H206" i="3" s="1"/>
  <c r="J206" i="3" s="1"/>
  <c r="J207" i="3" s="1"/>
  <c r="G229" i="3" s="1"/>
  <c r="J229" i="3" s="1"/>
  <c r="K163" i="3"/>
  <c r="J220" i="2"/>
  <c r="K220" i="2" s="1"/>
  <c r="G244" i="2" s="1"/>
  <c r="J244" i="2" s="1"/>
  <c r="J219" i="2"/>
  <c r="K219" i="2" s="1"/>
  <c r="G243" i="2" s="1"/>
  <c r="J243" i="2" s="1"/>
  <c r="H186" i="2"/>
  <c r="J186" i="2" s="1"/>
  <c r="J187" i="2" s="1"/>
  <c r="G230" i="2" s="1"/>
  <c r="J230" i="2" s="1"/>
  <c r="H198" i="2"/>
  <c r="J198" i="2" s="1"/>
  <c r="J199" i="2" s="1"/>
  <c r="G234" i="2" s="1"/>
  <c r="J234" i="2" s="1"/>
  <c r="J224" i="2"/>
  <c r="K224" i="2" s="1"/>
  <c r="G245" i="2" s="1"/>
  <c r="J245" i="2" s="1"/>
  <c r="H202" i="2"/>
  <c r="J202" i="2" s="1"/>
  <c r="J203" i="2" s="1"/>
  <c r="G235" i="2" s="1"/>
  <c r="J235" i="2" s="1"/>
  <c r="H194" i="2"/>
  <c r="J194" i="2" s="1"/>
  <c r="J195" i="2" s="1"/>
  <c r="G232" i="2" s="1"/>
  <c r="J232" i="2" s="1"/>
  <c r="H190" i="2"/>
  <c r="J190" i="2" s="1"/>
  <c r="J191" i="2" s="1"/>
  <c r="G231" i="2" s="1"/>
  <c r="J231" i="2" s="1"/>
  <c r="H206" i="2"/>
  <c r="J206" i="2" s="1"/>
  <c r="J207" i="2" s="1"/>
  <c r="G238" i="2" s="1"/>
  <c r="J238" i="2" s="1"/>
  <c r="H182" i="2"/>
  <c r="J182" i="2" s="1"/>
  <c r="J183" i="2" s="1"/>
  <c r="G229" i="2" s="1"/>
  <c r="J229" i="2" s="1"/>
  <c r="H210" i="2"/>
  <c r="J210" i="2" s="1"/>
  <c r="J211" i="2" s="1"/>
  <c r="G233" i="2" s="1"/>
  <c r="J233" i="2" s="1"/>
  <c r="H214" i="2"/>
  <c r="J214" i="2" s="1"/>
  <c r="J215" i="2" s="1"/>
  <c r="H198" i="3" l="1"/>
  <c r="J198" i="3" s="1"/>
  <c r="J199" i="3" s="1"/>
  <c r="G231" i="3" s="1"/>
  <c r="J231" i="3" s="1"/>
  <c r="H194" i="3"/>
  <c r="J194" i="3" s="1"/>
  <c r="J195" i="3" s="1"/>
  <c r="G230" i="3" s="1"/>
  <c r="J230" i="3" s="1"/>
  <c r="H210" i="3"/>
  <c r="J210" i="3" s="1"/>
  <c r="G235" i="3" s="1"/>
  <c r="J235" i="3" s="1"/>
  <c r="H202" i="3"/>
  <c r="J202" i="3" s="1"/>
  <c r="J203" i="3" s="1"/>
  <c r="G234" i="3" s="1"/>
  <c r="J234" i="3" s="1"/>
  <c r="H190" i="3"/>
  <c r="J190" i="3" s="1"/>
  <c r="J191" i="3" s="1"/>
  <c r="G228" i="3" s="1"/>
  <c r="J228" i="3" s="1"/>
  <c r="J219" i="3"/>
  <c r="K219" i="3" s="1"/>
  <c r="G238" i="3" s="1"/>
  <c r="J238" i="3" s="1"/>
  <c r="J216" i="3"/>
  <c r="K216" i="3" s="1"/>
  <c r="G240" i="3" s="1"/>
  <c r="J240" i="3" s="1"/>
  <c r="H186" i="3"/>
  <c r="J186" i="3" s="1"/>
  <c r="J187" i="3" s="1"/>
  <c r="G227" i="3" s="1"/>
  <c r="J227" i="3" s="1"/>
  <c r="J220" i="3"/>
  <c r="K220" i="3" s="1"/>
  <c r="G241" i="3" s="1"/>
  <c r="J241" i="3" s="1"/>
  <c r="J215" i="3"/>
  <c r="K215" i="3" s="1"/>
  <c r="G239" i="3" s="1"/>
  <c r="J239" i="3" s="1"/>
  <c r="H182" i="3"/>
  <c r="J182" i="3" s="1"/>
  <c r="J183" i="3" s="1"/>
  <c r="G226" i="3" s="1"/>
  <c r="J226" i="3" s="1"/>
  <c r="J246" i="2"/>
  <c r="J236" i="2"/>
  <c r="K225" i="2"/>
  <c r="G239" i="2"/>
  <c r="J239" i="2" s="1"/>
  <c r="J240" i="2" s="1"/>
  <c r="J211" i="3" l="1"/>
  <c r="J236" i="3"/>
  <c r="K221" i="3"/>
  <c r="J242" i="3"/>
  <c r="J232" i="3"/>
  <c r="J251" i="2"/>
  <c r="J253" i="2" s="1"/>
  <c r="J14" i="1" s="1"/>
  <c r="J247" i="3" l="1"/>
  <c r="J249" i="3" s="1"/>
  <c r="J15" i="1" s="1"/>
  <c r="J257" i="2"/>
  <c r="J16" i="1" l="1"/>
  <c r="J22" i="1" s="1"/>
  <c r="J253" i="3"/>
  <c r="J20" i="1" l="1"/>
  <c r="J23" i="1" s="1"/>
</calcChain>
</file>

<file path=xl/sharedStrings.xml><?xml version="1.0" encoding="utf-8"?>
<sst xmlns="http://schemas.openxmlformats.org/spreadsheetml/2006/main" count="964" uniqueCount="361">
  <si>
    <r>
      <rPr>
        <b/>
        <sz val="18"/>
        <color rgb="FF800080"/>
        <rFont val="Arial"/>
        <family val="2"/>
        <charset val="1"/>
      </rPr>
      <t>LIMPEZA - Regime de Tributação:</t>
    </r>
    <r>
      <rPr>
        <b/>
        <sz val="18"/>
        <color rgb="FFFF0000"/>
        <rFont val="Arial"/>
        <family val="2"/>
        <charset val="1"/>
      </rPr>
      <t xml:space="preserve"> LUCRO REAL</t>
    </r>
  </si>
  <si>
    <r>
      <rPr>
        <b/>
        <sz val="18"/>
        <color rgb="FFFF4000"/>
        <rFont val="Arial"/>
        <family val="2"/>
        <charset val="1"/>
      </rPr>
      <t xml:space="preserve">ANEXO II ----  </t>
    </r>
    <r>
      <rPr>
        <b/>
        <sz val="18"/>
        <color rgb="FFFF0000"/>
        <rFont val="Arial"/>
        <family val="2"/>
        <charset val="1"/>
      </rPr>
      <t xml:space="preserve">do Pregão nº XX/2024
</t>
    </r>
    <r>
      <rPr>
        <b/>
        <sz val="18"/>
        <color rgb="FF000000"/>
        <rFont val="Arial"/>
        <family val="2"/>
        <charset val="1"/>
      </rPr>
      <t xml:space="preserve">MODELO DE PLANILHA DE CUSTOS E FORMAÇÃO DE PREÇOS </t>
    </r>
  </si>
  <si>
    <t>Nº do processo:</t>
  </si>
  <si>
    <t>XXXXXXXXXX</t>
  </si>
  <si>
    <t>Licitação nº:</t>
  </si>
  <si>
    <t xml:space="preserve">Dia: 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</si>
  <si>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</si>
  <si>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</si>
  <si>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</si>
  <si>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</si>
  <si>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</si>
  <si>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Santana do Livramento/RS</t>
  </si>
  <si>
    <t>C</t>
  </si>
  <si>
    <t>Ano do Acordo, Convenção ou Dissídio Coletivo</t>
  </si>
  <si>
    <t xml:space="preserve">RS004917/2023
SIND. DAS EMPR. DE ASSEIO E CONSERVAÇÃOO DO EST . DO RGS, 
</t>
  </si>
  <si>
    <t>D</t>
  </si>
  <si>
    <t>Número de meses de execução contratual</t>
  </si>
  <si>
    <t xml:space="preserve">Tipo de Serviço: Limpeza e Conservação Predial Para o Câmpus Santana do Livramento do IFSUL     </t>
  </si>
  <si>
    <t>Grupo 1</t>
  </si>
  <si>
    <t>Item 1</t>
  </si>
  <si>
    <t xml:space="preserve">Limpeza e Conservação Predial para o Câmpus Santana do Livramento IFSUL (Insalubridade 20%) </t>
  </si>
  <si>
    <t>Item 2</t>
  </si>
  <si>
    <t xml:space="preserve">Limpeza e Conservação Predial para o Câmpus Santana do Livramento IFSUL (Insalubridade 40%) </t>
  </si>
  <si>
    <t>Valor mensal do serviço</t>
  </si>
  <si>
    <t>Número de meses do contrato</t>
  </si>
  <si>
    <t>Valor global da proposta (valor mensal do serviço x nº de meses do contrato)</t>
  </si>
  <si>
    <t>Valor Total Mensal do Contrato</t>
  </si>
  <si>
    <t>Valor Total Anual do Contrato</t>
  </si>
  <si>
    <t xml:space="preserve">
</t>
  </si>
  <si>
    <r>
      <rPr>
        <b/>
        <sz val="18"/>
        <color rgb="FFFF4000"/>
        <rFont val="Arial"/>
        <family val="2"/>
        <charset val="1"/>
      </rPr>
      <t xml:space="preserve">ANEXO II ----  </t>
    </r>
    <r>
      <rPr>
        <b/>
        <sz val="18"/>
        <color rgb="FFFF0000"/>
        <rFont val="Arial"/>
        <family val="2"/>
        <charset val="1"/>
      </rPr>
      <t xml:space="preserve">do Pregão nº XX/2024
</t>
    </r>
    <r>
      <rPr>
        <b/>
        <sz val="18"/>
        <color rgb="FF000000"/>
        <rFont val="Arial"/>
        <family val="2"/>
        <charset val="1"/>
      </rPr>
      <t xml:space="preserve">PLANILHA DE CUSTOS E FORMAÇÃO DE PREÇOS </t>
    </r>
  </si>
  <si>
    <t xml:space="preserve">
</t>
  </si>
  <si>
    <t>XXXXXXXXXXXXX</t>
  </si>
  <si>
    <t>Dia:</t>
  </si>
  <si>
    <t>IDENTIFICAÇÃO DO SERVIÇO</t>
  </si>
  <si>
    <t xml:space="preserve">Tipo de Serviço: Limpeza e Conservação Predial para o Câmpus Santana do Livramento IFSUL (Insalubridade 20%)                                                                                             </t>
  </si>
  <si>
    <t>Unidade
de 
Medida</t>
  </si>
  <si>
    <t xml:space="preserve">Quantidade total a contratar (Em função da unidade de medida) </t>
  </si>
  <si>
    <t>a) Áreas internas - Pisos acarpetados</t>
  </si>
  <si>
    <t>m2</t>
  </si>
  <si>
    <t>b) Áreas internas - Pisos frios</t>
  </si>
  <si>
    <t>c) Áreas internas - Laboratórios</t>
  </si>
  <si>
    <t>d) Áreas internas - Almoxarifados/galpões</t>
  </si>
  <si>
    <t>e) Áreas internas - Oficinas</t>
  </si>
  <si>
    <t>f) Áreas internas - Áreas com espaços livres - saguão, hall e salão</t>
  </si>
  <si>
    <t>g) Banheiros</t>
  </si>
  <si>
    <t>TOTAL DA ÁREA INTERNA</t>
  </si>
  <si>
    <t>a) Áreas externas - Pisos pavimentados adjacentes/contíguos às edificações</t>
  </si>
  <si>
    <t>b) Áreas externas -  Varrição de passeios e arruamentos</t>
  </si>
  <si>
    <t>c) Áreas externas -  Pátios com áreas verdes com alta frequência</t>
  </si>
  <si>
    <t>d) Áreas externas -  Pátios com áreas verdes com média frequência</t>
  </si>
  <si>
    <t>e) Áreas externas -  Pátios com áreas verdes com baixa frequência</t>
  </si>
  <si>
    <t>f) Áreas externas -  Coleta de detritos em pátios e áreas verdes com frequência diária</t>
  </si>
  <si>
    <t>TOTAL DA ÁREA EXTERNA</t>
  </si>
  <si>
    <t>a) Esquadrias externas - Face externa com exposição a situação de risco</t>
  </si>
  <si>
    <t>b) Esquadrias externas - Face externa sem exposição a situação de risco</t>
  </si>
  <si>
    <t>c) Esquadrias - Face interna</t>
  </si>
  <si>
    <t>TOTAL DA ÁREA DA ESQUADRIA EXTERNA - FACE INTERNA/EXTERNA</t>
  </si>
  <si>
    <t>a) Fachada envidraçada</t>
  </si>
  <si>
    <t>TOTAL DA ÁREA DA FACHADA ENVIDRAÇADA</t>
  </si>
  <si>
    <t>a) Áreas hospitalares e assemelhadas</t>
  </si>
  <si>
    <t>TOTAL DAS ÁREAS HOSPITALARES</t>
  </si>
  <si>
    <t>a) Outras áreas (especificar)</t>
  </si>
  <si>
    <t>TOTAL DAS OUTRAS ÁREAS (ESPECIFICAR)</t>
  </si>
  <si>
    <t xml:space="preserve">TOTAL GERAL </t>
  </si>
  <si>
    <r>
      <rPr>
        <b/>
        <sz val="15"/>
        <color rgb="FF000000"/>
        <rFont val="Arial"/>
        <family val="2"/>
        <charset val="1"/>
      </rPr>
      <t xml:space="preserve">1. MÓDULOS 
</t>
    </r>
    <r>
      <rPr>
        <b/>
        <sz val="12"/>
        <color rgb="FF000000"/>
        <rFont val="Arial"/>
        <family val="2"/>
        <charset val="1"/>
      </rPr>
      <t xml:space="preserve">Mão de obra
</t>
    </r>
    <r>
      <rPr>
        <b/>
        <sz val="11"/>
        <color rgb="FF000000"/>
        <rFont val="Arial"/>
        <family val="2"/>
        <charset val="1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</si>
  <si>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</si>
  <si>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</si>
  <si>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 xml:space="preserve"> Limpeza e conservação</t>
  </si>
  <si>
    <t>Classificação Brasileira de Ocupações (CBO)</t>
  </si>
  <si>
    <t>Salário Normativo da Categoria Profissional - para a jornada de 44 h/sem</t>
  </si>
  <si>
    <t>Categoria Profissional (vinculada à execução contratual)</t>
  </si>
  <si>
    <t xml:space="preserve">      Servente de limpeza</t>
  </si>
  <si>
    <t>Data-Base da Categoria (dia/mês/ano)</t>
  </si>
  <si>
    <t>1º de Fevereiro de 2024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</si>
  <si>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</si>
  <si>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</si>
  <si>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</si>
  <si>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</si>
  <si>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rgb="FF000000"/>
        <rFont val="Arial"/>
        <family val="2"/>
        <charset val="1"/>
      </rPr>
      <t xml:space="preserve">Salário-Base </t>
    </r>
    <r>
      <rPr>
        <b/>
        <sz val="10"/>
        <color rgb="FF00A933"/>
        <rFont val="Arial"/>
        <family val="2"/>
        <charset val="1"/>
      </rPr>
      <t xml:space="preserve">(valor para somente 1 servente de limpeza) </t>
    </r>
  </si>
  <si>
    <t>Adicional de Insalubridade (20% do SB - cláusula 17, “b” da CCT/2024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</si>
  <si>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</si>
  <si>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</si>
  <si>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</si>
  <si>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</si>
  <si>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rgb="FF000000"/>
        <rFont val="Arial"/>
        <family val="2"/>
        <charset val="1"/>
      </rPr>
      <t>13º (décimo terceiro) Salário</t>
    </r>
    <r>
      <rPr>
        <b/>
        <sz val="11"/>
        <color rgb="FFFF0000"/>
        <rFont val="Arial"/>
        <family val="2"/>
        <charset val="1"/>
      </rPr>
      <t xml:space="preserve"> </t>
    </r>
    <r>
      <rPr>
        <b/>
        <sz val="11"/>
        <color rgb="FF000000"/>
        <rFont val="Arial"/>
        <family val="2"/>
        <charset val="1"/>
      </rPr>
      <t>e Adicional de Férias</t>
    </r>
  </si>
  <si>
    <t>Valor (R$)</t>
  </si>
  <si>
    <r>
      <rPr>
        <b/>
        <sz val="10"/>
        <color rgb="FF000000"/>
        <rFont val="Arial"/>
        <family val="2"/>
        <charset val="1"/>
      </rPr>
      <t>13º (décimo terceiro) Salário</t>
    </r>
    <r>
      <rPr>
        <b/>
        <sz val="11"/>
        <color rgb="FF000000"/>
        <rFont val="Arial"/>
        <family val="2"/>
        <charset val="1"/>
      </rPr>
      <t xml:space="preserve"> </t>
    </r>
    <r>
      <rPr>
        <b/>
        <sz val="8"/>
        <color rgb="FF00A933"/>
        <rFont val="Arial"/>
        <family val="2"/>
        <charset val="1"/>
      </rPr>
      <t>Obrigatória a cotação de 8,33% sobre o valor do Módulo 1 – Composição da Remuneração, conforme Anexo XII da IN 5/17</t>
    </r>
  </si>
  <si>
    <r>
      <rPr>
        <b/>
        <sz val="10"/>
        <color rgb="FF00A933"/>
        <rFont val="Arial"/>
        <family val="2"/>
        <charset val="1"/>
      </rPr>
      <t>(Férias e)</t>
    </r>
    <r>
      <rPr>
        <b/>
        <sz val="10"/>
        <color rgb="FF000000"/>
        <rFont val="Arial"/>
        <family val="2"/>
        <charset val="1"/>
      </rPr>
      <t xml:space="preserve"> Adicional de Férias</t>
    </r>
    <r>
      <rPr>
        <b/>
        <sz val="10"/>
        <color rgb="FF00A933"/>
        <rFont val="Arial"/>
        <family val="2"/>
        <charset val="1"/>
      </rPr>
      <t xml:space="preserve"> </t>
    </r>
    <r>
      <rPr>
        <b/>
        <sz val="8"/>
        <color rgb="FF00A933"/>
        <rFont val="Arial"/>
        <family val="2"/>
        <charset val="1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</si>
  <si>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</si>
  <si>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</si>
  <si>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</si>
  <si>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</si>
  <si>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</si>
  <si>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</si>
  <si>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</si>
  <si>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</si>
  <si>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</si>
  <si>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</si>
  <si>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</si>
  <si>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</si>
  <si>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</si>
  <si>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</si>
  <si>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</si>
  <si>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</si>
  <si>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</si>
  <si>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</si>
  <si>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</si>
  <si>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</si>
  <si>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</si>
  <si>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</si>
  <si>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</si>
  <si>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</si>
  <si>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rgb="FF000000"/>
        <rFont val="Arial"/>
        <family val="2"/>
        <charset val="1"/>
      </rPr>
      <t xml:space="preserve">Transporte </t>
    </r>
    <r>
      <rPr>
        <b/>
        <sz val="10"/>
        <color rgb="FF00A933"/>
        <rFont val="Arial"/>
        <family val="2"/>
        <charset val="1"/>
      </rPr>
      <t>Cálculo do valor: [(2xVTx22) – (6%xSB)]</t>
    </r>
  </si>
  <si>
    <t xml:space="preserve">      A.1) Valor da passagem do transporte coletivo no município de prestação dos serviços: - Decreto Municipal 10.842 de Dezemrbo de 2023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</si>
  <si>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</si>
  <si>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</si>
  <si>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</si>
  <si>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rgb="FF000000"/>
        <rFont val="Arial"/>
        <family val="2"/>
        <charset val="1"/>
      </rPr>
      <t xml:space="preserve">Auxílio-Refeição/Alimentação </t>
    </r>
    <r>
      <rPr>
        <b/>
        <sz val="10"/>
        <color rgb="FF00A933"/>
        <rFont val="Arial"/>
        <family val="2"/>
        <charset val="1"/>
      </rPr>
      <t>Cálculo do valor = [(22xVA)x(1-0,19)]</t>
    </r>
  </si>
  <si>
    <r>
      <rPr>
        <b/>
        <sz val="10"/>
        <color rgb="FFFF0000"/>
        <rFont val="Arial"/>
        <family val="2"/>
        <charset val="1"/>
      </rPr>
      <t xml:space="preserve">    </t>
    </r>
    <r>
      <rPr>
        <b/>
        <sz val="10"/>
        <color rgb="FF00A933"/>
        <rFont val="Arial"/>
        <family val="2"/>
        <charset val="1"/>
      </rPr>
      <t xml:space="preserve">  B.1) Valor do auxílio-alimentação (clausula 18 da CCT 2024): </t>
    </r>
  </si>
  <si>
    <r>
      <rPr>
        <b/>
        <sz val="10"/>
        <color rgb="FFFF0000"/>
        <rFont val="Arial"/>
        <family val="2"/>
        <charset val="1"/>
      </rPr>
      <t xml:space="preserve">     </t>
    </r>
    <r>
      <rPr>
        <b/>
        <sz val="10"/>
        <color rgb="FF00A933"/>
        <rFont val="Arial"/>
        <family val="2"/>
        <charset val="1"/>
      </rPr>
      <t xml:space="preserve"> B.2) Quantidade de dias do mês de recebimento de auxílio-alimentação</t>
    </r>
  </si>
  <si>
    <t xml:space="preserve">Plano de Benefício Social Familiar (cláusula 29 da CCT 2023)  </t>
  </si>
  <si>
    <t xml:space="preserve">Outros (especificar) </t>
  </si>
  <si>
    <t>Quadro-Resumo do Módulo 2 – Encargos e Benefícios Anuais, Mensais e Diários</t>
  </si>
  <si>
    <t>Encargos e Benefícios Anuais, Mensais e Diários</t>
  </si>
  <si>
    <t>13º (décimo terceiro) Salário e Adicional de Férias</t>
  </si>
  <si>
    <t>Módulo 3 - Provisão para Rescisão</t>
  </si>
  <si>
    <t>Provisão para Rescisão</t>
  </si>
  <si>
    <t>Valor  (R$)</t>
  </si>
  <si>
    <r>
      <rPr>
        <b/>
        <sz val="10"/>
        <color rgb="FF000000"/>
        <rFont val="Arial"/>
        <family val="2"/>
        <charset val="1"/>
      </rPr>
      <t>Aviso Prévio Indenizado</t>
    </r>
    <r>
      <rPr>
        <b/>
        <sz val="8"/>
        <color rgb="FFFF0000"/>
        <rFont val="Arial"/>
        <family val="2"/>
      </rPr>
      <t xml:space="preserve"> </t>
    </r>
    <r>
      <rPr>
        <b/>
        <sz val="8"/>
        <color rgb="FF00A933"/>
        <rFont val="Arial"/>
        <family val="2"/>
      </rPr>
      <t>Cálculo do valor = {Rem/60 + 13º/60 + Férias/60+ (1/3xFérias)/60} x (45/30=1,5) x 5% de rotatividade anual - 
Os reflexos de 13º, F e 1/3F são referentes a 1 mês de APInd – Considerando a vigência do contrato, foi considerado 45 dias de aviso prévio indenizado conforme Lei nº 12.506/2011. Na prorrogação, tal item deverá ser revisto, dependendo da análise do nº de ocorrências deste evento no período</t>
    </r>
  </si>
  <si>
    <t>Incidência do FGTS sobre o Aviso Prévio Indenizado</t>
  </si>
  <si>
    <r>
      <rPr>
        <b/>
        <sz val="10"/>
        <color rgb="FF000000"/>
        <rFont val="Arial"/>
        <family val="2"/>
        <charset val="1"/>
      </rPr>
      <t xml:space="preserve">Aviso Prévio Trabalhado (negociar extinção/redução na 1ª prorrogação)
</t>
    </r>
    <r>
      <rPr>
        <b/>
        <sz val="10"/>
        <color rgb="FF00A933"/>
        <rFont val="Arial"/>
        <family val="2"/>
        <charset val="1"/>
      </rPr>
      <t>Cálculo do valor= [(Rem/30)x7]/60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</si>
  <si>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</si>
  <si>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color rgb="FF000000"/>
        <rFont val="Arial"/>
        <family val="2"/>
        <charset val="1"/>
      </rPr>
      <t>Multa do FGTS sobre o Aviso Prévio Trabalhado e sobre o Aviso Prévio Indenizado</t>
    </r>
    <r>
      <rPr>
        <b/>
        <sz val="8"/>
        <color rgb="FF00A933"/>
        <rFont val="Arial"/>
        <family val="2"/>
        <charset val="1"/>
      </rPr>
      <t>Obrigatória a cotação de 4% sobre o valor do Módulo 1 – Composição da Remuneração, conforme Anexo XII da IN Seges nº 5/2017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</si>
  <si>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</si>
  <si>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</si>
  <si>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</si>
  <si>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</si>
  <si>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</si>
  <si>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color rgb="FF000000"/>
        <rFont val="Arial"/>
        <family val="2"/>
      </rPr>
      <t xml:space="preserve">Ausências Legais                                           </t>
    </r>
    <r>
      <rPr>
        <b/>
        <sz val="10"/>
        <color rgb="FF00A933"/>
        <rFont val="Arial"/>
        <family val="2"/>
      </rPr>
      <t xml:space="preserve">    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</t>
    </r>
    <r>
      <rPr>
        <b/>
        <sz val="10"/>
        <color rgb="FF00A933"/>
        <rFont val="Arial"/>
        <family val="2"/>
      </rPr>
      <t>30)x2,96dias]/60</t>
    </r>
  </si>
  <si>
    <r>
      <rPr>
        <b/>
        <sz val="10"/>
        <color rgb="FF000000"/>
        <rFont val="Arial"/>
        <family val="2"/>
      </rPr>
      <t xml:space="preserve">Licença-Paternidade                                      </t>
    </r>
    <r>
      <rPr>
        <b/>
        <sz val="10"/>
        <color rgb="FF00A933"/>
        <rFont val="Arial"/>
        <family val="2"/>
      </rPr>
      <t xml:space="preserve">   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00A933"/>
        <rFont val="Arial"/>
        <family val="2"/>
      </rPr>
      <t>/30)x5dias]/60}x1,5%</t>
    </r>
  </si>
  <si>
    <r>
      <rPr>
        <b/>
        <sz val="10"/>
        <color rgb="FF000000"/>
        <rFont val="Arial"/>
        <family val="2"/>
      </rPr>
      <t xml:space="preserve">Ausência por acidente de trabalho                 </t>
    </r>
    <r>
      <rPr>
        <b/>
        <sz val="10"/>
        <color rgb="FF00A933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00A933"/>
        <rFont val="Arial"/>
        <family val="2"/>
      </rPr>
      <t>/30)x15dias]/60}x0,78%</t>
    </r>
  </si>
  <si>
    <r>
      <rPr>
        <b/>
        <sz val="10"/>
        <color rgb="FF000000"/>
        <rFont val="Arial"/>
        <family val="2"/>
      </rPr>
      <t xml:space="preserve">Afastamento Maternidade                            </t>
    </r>
    <r>
      <rPr>
        <b/>
        <sz val="10"/>
        <color rgb="FF00A933"/>
        <rFont val="Arial"/>
        <family val="2"/>
      </rPr>
      <t xml:space="preserve">    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00A933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00A933"/>
        <rFont val="Arial"/>
        <family val="2"/>
      </rPr>
      <t>)/12]x(4/60)}x2%</t>
    </r>
  </si>
  <si>
    <r>
      <rPr>
        <b/>
        <sz val="10"/>
        <color rgb="FF000000"/>
        <rFont val="Arial"/>
        <family val="2"/>
      </rPr>
      <t xml:space="preserve">(Outros)   Ausência por doença                      </t>
    </r>
    <r>
      <rPr>
        <b/>
        <sz val="10"/>
        <color rgb="FF00A933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00A933"/>
        <rFont val="Arial"/>
        <family val="2"/>
      </rPr>
      <t>)/30)x5dias]/60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</si>
  <si>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</si>
  <si>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</si>
  <si>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</si>
  <si>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</si>
  <si>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</si>
  <si>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</si>
  <si>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</si>
  <si>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</si>
  <si>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</si>
  <si>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</si>
  <si>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</si>
  <si>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</si>
  <si>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</si>
  <si>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</si>
  <si>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>Módulo 6 -  Custos Indiretos, Lucro e Tributos</t>
  </si>
  <si>
    <t xml:space="preserve">Custos Indiretos, Lucro e Tributos 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</si>
  <si>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</si>
  <si>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</si>
  <si>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</si>
  <si>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</si>
  <si>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</si>
  <si>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</si>
  <si>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</si>
  <si>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rgb="FF000000"/>
        <rFont val="Arial"/>
        <family val="2"/>
        <charset val="1"/>
      </rPr>
      <t xml:space="preserve">a) Cofins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</si>
  <si>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r>
      <rPr>
        <b/>
        <sz val="10"/>
        <color rgb="FF000000"/>
        <rFont val="Arial"/>
        <family val="2"/>
        <charset val="1"/>
      </rPr>
      <t xml:space="preserve">b) PIS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</si>
  <si>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</si>
  <si>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</si>
  <si>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</si>
  <si>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</si>
  <si>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  a) ISS                     Lei 4.330/2001 - Anexo I - Santana do Livramento     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</si>
  <si>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</si>
  <si>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</si>
  <si>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</si>
  <si>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</si>
  <si>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</si>
  <si>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</si>
  <si>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</si>
  <si>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</si>
  <si>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</si>
  <si>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</si>
  <si>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</si>
  <si>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</si>
  <si>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</si>
  <si>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</si>
  <si>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3.  COMPLEMENTO DOS SERVIÇOS DE LIMPEZA E CONSERVAÇÃO</t>
  </si>
  <si>
    <t>PREÇO MENSAL UNITÁRIO POR M² (metro quadrado)</t>
  </si>
  <si>
    <t>MÃO DE OBRA 
ENCARREGADO / SERVENTE</t>
  </si>
  <si>
    <t>(1) 
PRODUTIVIDADE
(1/M²)</t>
  </si>
  <si>
    <t>(2)
PREÇO HOMEM-MÊS (R$)</t>
  </si>
  <si>
    <t>(1 X 2)
SUBTOTAL
(R$/M²)</t>
  </si>
  <si>
    <r>
      <rPr>
        <sz val="10"/>
        <color rgb="FF000000"/>
        <rFont val="Arial"/>
        <family val="2"/>
        <charset val="1"/>
      </rPr>
      <t>ENC. / Pisos acarpetados</t>
    </r>
    <r>
      <rPr>
        <sz val="10"/>
        <color rgb="FFFF3333"/>
        <rFont val="Arial"/>
        <family val="2"/>
        <charset val="1"/>
      </rPr>
      <t xml:space="preserve"> </t>
    </r>
    <r>
      <rPr>
        <sz val="10"/>
        <color rgb="FFFF0000"/>
        <rFont val="Arial"/>
        <family val="2"/>
        <charset val="1"/>
      </rPr>
      <t>= 1/(30** x 1200*)</t>
    </r>
  </si>
  <si>
    <r>
      <rPr>
        <sz val="10"/>
        <color rgb="FF000000"/>
        <rFont val="Arial"/>
        <family val="2"/>
        <charset val="1"/>
      </rPr>
      <t xml:space="preserve">SERV. / Pisos acarpetados </t>
    </r>
    <r>
      <rPr>
        <sz val="10"/>
        <color rgb="FFFF0000"/>
        <rFont val="Arial"/>
        <family val="2"/>
        <charset val="1"/>
      </rPr>
      <t>= 1 / 1200*</t>
    </r>
  </si>
  <si>
    <t>TOTAL</t>
  </si>
  <si>
    <r>
      <rPr>
        <sz val="10"/>
        <color rgb="FF000000"/>
        <rFont val="Arial"/>
        <family val="2"/>
        <charset val="1"/>
      </rPr>
      <t>ENC. / Pisos frios</t>
    </r>
    <r>
      <rPr>
        <sz val="10"/>
        <color rgb="FFFF3333"/>
        <rFont val="Arial"/>
        <family val="2"/>
        <charset val="1"/>
      </rPr>
      <t xml:space="preserve"> </t>
    </r>
    <r>
      <rPr>
        <sz val="10"/>
        <color rgb="FFFF0000"/>
        <rFont val="Arial"/>
        <family val="2"/>
        <charset val="1"/>
      </rPr>
      <t>= 1/(30** x 1200*)</t>
    </r>
  </si>
  <si>
    <r>
      <rPr>
        <sz val="10"/>
        <color rgb="FF000000"/>
        <rFont val="Arial"/>
        <family val="2"/>
        <charset val="1"/>
      </rPr>
      <t xml:space="preserve">SERV. / Pisos frios </t>
    </r>
    <r>
      <rPr>
        <sz val="10"/>
        <color rgb="FFFF0000"/>
        <rFont val="Arial"/>
        <family val="2"/>
        <charset val="1"/>
      </rPr>
      <t>= 1 / 1200*</t>
    </r>
  </si>
  <si>
    <r>
      <rPr>
        <sz val="9"/>
        <color rgb="FF000000"/>
        <rFont val="Arial"/>
        <family val="2"/>
        <charset val="1"/>
      </rPr>
      <t xml:space="preserve">ENC. / Laboratórios </t>
    </r>
    <r>
      <rPr>
        <sz val="9"/>
        <color rgb="FFFF0000"/>
        <rFont val="Arial"/>
        <family val="2"/>
        <charset val="1"/>
      </rPr>
      <t>= 1/(30**x 450*)</t>
    </r>
  </si>
  <si>
    <r>
      <rPr>
        <sz val="9"/>
        <color rgb="FF000000"/>
        <rFont val="Arial"/>
        <family val="2"/>
        <charset val="1"/>
      </rPr>
      <t xml:space="preserve">SERV./Laboratórios </t>
    </r>
    <r>
      <rPr>
        <sz val="9"/>
        <color rgb="FFFF0000"/>
        <rFont val="Arial"/>
        <family val="2"/>
        <charset val="1"/>
      </rPr>
      <t>= 1/450*</t>
    </r>
  </si>
  <si>
    <r>
      <rPr>
        <sz val="9"/>
        <color rgb="FF000000"/>
        <rFont val="Arial"/>
        <family val="2"/>
        <charset val="1"/>
      </rPr>
      <t xml:space="preserve">ENC. / Almoxaridados/galpões </t>
    </r>
    <r>
      <rPr>
        <sz val="9"/>
        <color rgb="FFFF0000"/>
        <rFont val="Arial"/>
        <family val="2"/>
        <charset val="1"/>
      </rPr>
      <t>= 1/(30**x 2500*)</t>
    </r>
  </si>
  <si>
    <r>
      <rPr>
        <sz val="9"/>
        <color rgb="FF000000"/>
        <rFont val="Arial"/>
        <family val="2"/>
        <charset val="1"/>
      </rPr>
      <t xml:space="preserve">SERV./Almoxaridados/galpões </t>
    </r>
    <r>
      <rPr>
        <sz val="9"/>
        <color rgb="FFFF0000"/>
        <rFont val="Arial"/>
        <family val="2"/>
        <charset val="1"/>
      </rPr>
      <t>= 1/2500*</t>
    </r>
  </si>
  <si>
    <r>
      <rPr>
        <sz val="10"/>
        <color rgb="FF000000"/>
        <rFont val="Arial"/>
        <family val="2"/>
        <charset val="1"/>
      </rPr>
      <t xml:space="preserve">ENC. / Áreas com espaços livres - saguão, hall e salão </t>
    </r>
    <r>
      <rPr>
        <sz val="10"/>
        <color rgb="FFFF0000"/>
        <rFont val="Arial"/>
        <family val="2"/>
        <charset val="1"/>
      </rPr>
      <t>= 1/(30**x1500*)</t>
    </r>
  </si>
  <si>
    <r>
      <rPr>
        <sz val="10"/>
        <color rgb="FF000000"/>
        <rFont val="Arial"/>
        <family val="2"/>
        <charset val="1"/>
      </rPr>
      <t xml:space="preserve">SERV. / Áreas com espaços livres - saguão, hall e salão </t>
    </r>
    <r>
      <rPr>
        <sz val="10"/>
        <color rgb="FFFF0000"/>
        <rFont val="Arial"/>
        <family val="2"/>
        <charset val="1"/>
      </rPr>
      <t>= 1/1500*</t>
    </r>
  </si>
  <si>
    <r>
      <rPr>
        <sz val="10"/>
        <color rgb="FF000000"/>
        <rFont val="Arial"/>
        <family val="2"/>
        <charset val="1"/>
      </rPr>
      <t>ENC. / Banheiros</t>
    </r>
    <r>
      <rPr>
        <b/>
        <sz val="10"/>
        <color rgb="FF000000"/>
        <rFont val="Arial"/>
        <family val="2"/>
        <charset val="1"/>
      </rPr>
      <t xml:space="preserve"> </t>
    </r>
    <r>
      <rPr>
        <sz val="10"/>
        <color rgb="FFFF0000"/>
        <rFont val="Arial"/>
        <family val="2"/>
        <charset val="1"/>
      </rPr>
      <t>= 1(30**x300*)</t>
    </r>
  </si>
  <si>
    <r>
      <rPr>
        <sz val="10"/>
        <color rgb="FF000000"/>
        <rFont val="Arial"/>
        <family val="2"/>
        <charset val="1"/>
      </rPr>
      <t>SERV. / Banheiros</t>
    </r>
    <r>
      <rPr>
        <b/>
        <sz val="10"/>
        <color rgb="FF000000"/>
        <rFont val="Arial"/>
        <family val="2"/>
        <charset val="1"/>
      </rPr>
      <t xml:space="preserve"> </t>
    </r>
    <r>
      <rPr>
        <sz val="10"/>
        <color rgb="FFFF0000"/>
        <rFont val="Arial"/>
        <family val="2"/>
        <charset val="1"/>
      </rPr>
      <t>= 1/300*</t>
    </r>
  </si>
  <si>
    <r>
      <rPr>
        <sz val="10"/>
        <color rgb="FF000000"/>
        <rFont val="Arial"/>
        <family val="2"/>
        <charset val="1"/>
      </rPr>
      <t>ENC. / Varrição de passeios e arruamentos</t>
    </r>
    <r>
      <rPr>
        <sz val="10"/>
        <color rgb="FFFF0000"/>
        <rFont val="Arial"/>
        <family val="2"/>
        <charset val="1"/>
      </rPr>
      <t xml:space="preserve"> = 1/(30** x 9000*)</t>
    </r>
  </si>
  <si>
    <t>30</t>
  </si>
  <si>
    <r>
      <rPr>
        <sz val="10"/>
        <color rgb="FF000000"/>
        <rFont val="Arial"/>
        <family val="2"/>
        <charset val="1"/>
      </rPr>
      <t xml:space="preserve">SERV. / Varrição de passeios e arruamentos </t>
    </r>
    <r>
      <rPr>
        <sz val="10"/>
        <color rgb="FFFF0000"/>
        <rFont val="Arial"/>
        <family val="2"/>
        <charset val="1"/>
      </rPr>
      <t>= 1/9000*</t>
    </r>
  </si>
  <si>
    <r>
      <rPr>
        <sz val="10"/>
        <color rgb="FF000000"/>
        <rFont val="Arial"/>
        <family val="2"/>
        <charset val="1"/>
      </rPr>
      <t>Oficinas</t>
    </r>
    <r>
      <rPr>
        <sz val="10"/>
        <color rgb="FFFF0000"/>
        <rFont val="Arial"/>
        <family val="2"/>
        <charset val="1"/>
      </rPr>
      <t xml:space="preserve"> = 1/(30** x 1800*)</t>
    </r>
  </si>
  <si>
    <r>
      <rPr>
        <sz val="10"/>
        <color rgb="FF000000"/>
        <rFont val="Arial"/>
        <family val="2"/>
        <charset val="1"/>
      </rPr>
      <t xml:space="preserve">SERV. / Oficinas </t>
    </r>
    <r>
      <rPr>
        <sz val="10"/>
        <color rgb="FFFF0000"/>
        <rFont val="Arial"/>
        <family val="2"/>
        <charset val="1"/>
      </rPr>
      <t>= 1/1800*</t>
    </r>
  </si>
  <si>
    <t>Áreas externas - Pátios com áreas verdes com média frequência = 1/(1800** x 2700*)</t>
  </si>
  <si>
    <t>1800</t>
  </si>
  <si>
    <t>SERV. / Áreas externas - Pátios com áreas verdes com média frequência = 1/2700*</t>
  </si>
  <si>
    <r>
      <rPr>
        <b/>
        <sz val="9"/>
        <color rgb="FF000000"/>
        <rFont val="Arial"/>
        <family val="2"/>
        <charset val="1"/>
      </rPr>
      <t xml:space="preserve">MÃO DE OBRA 
</t>
    </r>
    <r>
      <rPr>
        <b/>
        <sz val="8"/>
        <color rgb="FF000000"/>
        <rFont val="Arial"/>
        <family val="2"/>
        <charset val="1"/>
      </rPr>
      <t>ENCARREGADO / SERVENTE</t>
    </r>
  </si>
  <si>
    <t>(1)
PRODUTIVIDADE 
(1/M²)</t>
  </si>
  <si>
    <t>(2) FREQUÊNCIA NO MÊS    (HORAS)      16 ***</t>
  </si>
  <si>
    <t>(3)
JORNADA DE TRABALHO NO MÊS
(HORAS)</t>
  </si>
  <si>
    <t>(4) 
= (1 X 2 X 3)
Ke****</t>
  </si>
  <si>
    <t>(5)
PREÇO HOMEM-MÊS 
(R$)</t>
  </si>
  <si>
    <t>(6) = (4 X 5)
SUBTOTAL
(R$/M²)</t>
  </si>
  <si>
    <t>Face externa sem exposição a situação de risco = 1/(380)</t>
  </si>
  <si>
    <t>380</t>
  </si>
  <si>
    <t>1</t>
  </si>
  <si>
    <t>188,76</t>
  </si>
  <si>
    <t>SERV. / Face interna = 1/380*</t>
  </si>
  <si>
    <t>(2) FREQUÊNCIA NO SEMESTRE    (HORAS) 8 ***</t>
  </si>
  <si>
    <t>(3)
JORNADA DE TRABALHO NO SEMESTRE
(HORAS)</t>
  </si>
  <si>
    <t>Face externa com exposição a situação de risco = 1/(160)</t>
  </si>
  <si>
    <t>1132,60</t>
  </si>
  <si>
    <t>Fachada Envidraçada = 1/160*</t>
  </si>
  <si>
    <t>4. VALOR MENSAL DOS SERVIÇOS</t>
  </si>
  <si>
    <t>TIPO DE ÁREA</t>
  </si>
  <si>
    <t>PREÇO MENSAL UNITÁRIO (R$/M²)</t>
  </si>
  <si>
    <t>ÁREA
(M²)</t>
  </si>
  <si>
    <t>SUBTOTAL
(R$)</t>
  </si>
  <si>
    <t>g) Áreas internas – Banheiros</t>
  </si>
  <si>
    <t>a) Áreas externa – Varrição de passeio e arruamentos</t>
  </si>
  <si>
    <t>b) Áreas externa - Áreas externas - Pátios com áreas verdes com média frequência</t>
  </si>
  <si>
    <t>a) Esquadrias - Face externa Com exposição a situação de risco</t>
  </si>
  <si>
    <t>b) Esquadrias - Face externa sem exposição a situação de risco</t>
  </si>
  <si>
    <t>c) Face interna</t>
  </si>
  <si>
    <t>a.1) Esquadrias – Fachada Envidraçada</t>
  </si>
  <si>
    <t>TOTAL DA ÁREA DE ESQUADRIAS</t>
  </si>
  <si>
    <r>
      <rPr>
        <b/>
        <sz val="14"/>
        <color rgb="FF000000"/>
        <rFont val="Arial"/>
        <family val="2"/>
        <charset val="1"/>
      </rPr>
      <t xml:space="preserve">Valor global da proposta </t>
    </r>
    <r>
      <rPr>
        <b/>
        <sz val="10"/>
        <color rgb="FF000000"/>
        <rFont val="Arial"/>
        <family val="2"/>
        <charset val="1"/>
      </rPr>
      <t>(valor mensal do serviço x nº de meses do contrato)</t>
    </r>
  </si>
  <si>
    <t>QUANTIDADE DE PESSOAL ALOCADO NA EXECUÇÃO CONTRATUAL (item 6.2.e do Anexo VII da IN nº 5/2017</t>
  </si>
  <si>
    <t>Tipo de Mão de Obra</t>
  </si>
  <si>
    <t>Quantidade de Pessoal</t>
  </si>
  <si>
    <t>Servente de limpeza</t>
  </si>
  <si>
    <r>
      <rPr>
        <b/>
        <sz val="18"/>
        <color rgb="FFFF4000"/>
        <rFont val="Arial"/>
        <family val="2"/>
        <charset val="1"/>
      </rPr>
      <t xml:space="preserve">ANEXO II ---- </t>
    </r>
    <r>
      <rPr>
        <b/>
        <sz val="18"/>
        <color rgb="FF000000"/>
        <rFont val="Arial"/>
        <family val="2"/>
        <charset val="1"/>
      </rPr>
      <t xml:space="preserve"> </t>
    </r>
    <r>
      <rPr>
        <b/>
        <sz val="18"/>
        <color rgb="FFFF0000"/>
        <rFont val="Arial"/>
        <family val="2"/>
        <charset val="1"/>
      </rPr>
      <t xml:space="preserve">do Pregão nº XX/2024
</t>
    </r>
    <r>
      <rPr>
        <b/>
        <sz val="18"/>
        <color rgb="FF000000"/>
        <rFont val="Arial"/>
        <family val="2"/>
        <charset val="1"/>
      </rPr>
      <t xml:space="preserve">PLANILHA DE CUSTOS E FORMAÇÃO DE PREÇOS </t>
    </r>
  </si>
  <si>
    <t xml:space="preserve">RS004917/2023
SIND. DAS EMPR. DE ASSEIO E CONSERVAÇÃOO DO EST . DO RGS, </t>
  </si>
  <si>
    <t xml:space="preserve">Tipo de Serviço: Limpeza e Conservação Predial para o Câmpus Santana do Livramento IFSUL (Insalubridade 40%)                                                                                             </t>
  </si>
  <si>
    <t>Adicional de Insalubridade (40% do SB - cláusula 17, “C” da CCT/2024</t>
  </si>
  <si>
    <t>Contribuição Atividade Sindical Patronal (Cláusula 71 da CCT 2023)</t>
  </si>
  <si>
    <r>
      <rPr>
        <b/>
        <sz val="10"/>
        <color rgb="FF000000"/>
        <rFont val="Arial"/>
        <family val="2"/>
        <charset val="1"/>
      </rPr>
      <t>Aviso Prévio Indenizado</t>
    </r>
    <r>
      <rPr>
        <b/>
        <sz val="8"/>
        <color rgb="FFFF0000"/>
        <rFont val="Arial"/>
        <family val="2"/>
      </rPr>
      <t xml:space="preserve"> Cálculo do valor = {Rem/60 + 13º/60 + Férias/60+ (1/3xFérias)/60} x (45/30=1,5) x 5% de rotatividade anual - 
Os reflexos de 13º, F e 1/3F são referentes a 1 mês de APInd – Considerando a vigência do contrato, foi considerado 45 dias de aviso prévio indenizado conforme Lei nº 12.506/2011. Na prorrogação, tal item deverá ser revisto, dependendo da análise do nº de ocorrências deste evento no período</t>
    </r>
  </si>
  <si>
    <r>
      <rPr>
        <b/>
        <sz val="10"/>
        <color rgb="FF000000"/>
        <rFont val="Arial"/>
        <family val="2"/>
        <charset val="1"/>
      </rPr>
      <t xml:space="preserve">Aviso Prévio Trabalhado (negociar extinção/redução na 1ª prorrogação)
</t>
    </r>
    <r>
      <rPr>
        <b/>
        <sz val="10"/>
        <color rgb="FFFF0000"/>
        <rFont val="Arial"/>
        <family val="2"/>
        <charset val="1"/>
      </rPr>
      <t>Cálculo do valor= [(Rem/30)x7]/60 meses do contratox90% dos empregados - ao final do contrato</t>
    </r>
  </si>
  <si>
    <r>
      <rPr>
        <b/>
        <sz val="10"/>
        <color rgb="FF000000"/>
        <rFont val="Arial"/>
        <family val="2"/>
        <charset val="1"/>
      </rPr>
      <t>Multa do FGTS sobre o Aviso Prévio Trabalhado e sobre o Aviso Prévio Indenizado</t>
    </r>
    <r>
      <rPr>
        <b/>
        <sz val="8"/>
        <color rgb="FFFF0000"/>
        <rFont val="Arial"/>
        <family val="2"/>
        <charset val="1"/>
      </rPr>
      <t>Obrigatória a cotação de 4% sobre o valor do Módulo 1 – Composição da Remuneração, conforme Anexo XII da IN Seges nº 5/2017</t>
    </r>
  </si>
  <si>
    <t>XXXXXXXXXXX</t>
  </si>
  <si>
    <t>Materiais de Limpeza e Utensílios</t>
  </si>
  <si>
    <t>Unidade</t>
  </si>
  <si>
    <t>Quantidade Mensal</t>
  </si>
  <si>
    <t>Quantidade Anual</t>
  </si>
  <si>
    <t>Valor Unitário</t>
  </si>
  <si>
    <t>Custo Anual</t>
  </si>
  <si>
    <r>
      <rPr>
        <sz val="10.5"/>
        <rFont val="Arial"/>
        <family val="2"/>
        <charset val="128"/>
      </rPr>
      <t xml:space="preserve">Hipoclorito </t>
    </r>
    <r>
      <rPr>
        <sz val="10.5"/>
        <color rgb="FF000000"/>
        <rFont val="Arial"/>
        <family val="2"/>
        <charset val="128"/>
      </rPr>
      <t>de sódio, mínimo de 2,0 à 2,5% p/p de cloro ativo (água sanitária), embalagem de 5 litros</t>
    </r>
  </si>
  <si>
    <t>galão</t>
  </si>
  <si>
    <t>Álcool 70 °INPM (70% p/p) ou 77 °GL (77% v/v), embalagem de 5 litros</t>
  </si>
  <si>
    <t>Álcool em gel 70% INPM ou 77º GL (77% v/v), embalagem de 5 litros</t>
  </si>
  <si>
    <t>Detergente neutro, de boa qualidade, embalagem de 5 litros</t>
  </si>
  <si>
    <t>Desinfetante de uso geral, aromatizado, embalagem de 5 litros</t>
  </si>
  <si>
    <t>Desodorizador de ar de 360 ml (tipo aerosol)</t>
  </si>
  <si>
    <t>unidade</t>
  </si>
  <si>
    <t>Limpa vidros, embalagem de 5 litros</t>
  </si>
  <si>
    <t>Lustra móveis, 500 ml</t>
  </si>
  <si>
    <t>Sabão em barra de 200g, glicerinado, embalagem com 5 unidades</t>
  </si>
  <si>
    <t>Pacote c/5 unidades</t>
  </si>
  <si>
    <t>Saponáceo cremoso, frasco de 300 ml</t>
  </si>
  <si>
    <t>Solvente para banheiro químico, bactericida e desodorizante (líquido para caixa de detritos e banheiro químico), embalagem de 1 litro, preferencialmente com dosador</t>
  </si>
  <si>
    <t>unidades</t>
  </si>
  <si>
    <t>Desincrustante ácido, tira mancha, embalagem de 5 litros (limpador para vaso sanitário, mictórios, piso encardido e pós obra)</t>
  </si>
  <si>
    <t>Pedra sanitária, sachê de 25 g</t>
  </si>
  <si>
    <t>Saco de lixo 100L, pacote 100 unidades, vermelho</t>
  </si>
  <si>
    <t>pacote</t>
  </si>
  <si>
    <t>Saco de lixo 100L, pacote 100 unidades, azul</t>
  </si>
  <si>
    <t>Saco de lixo 100L, pacote 100 unidades, amarelo</t>
  </si>
  <si>
    <t>Saco de lixo 100L, pacote 100 unidades, verde</t>
  </si>
  <si>
    <t>Saco de lixo 100L, pacote 100 unidades, preto</t>
  </si>
  <si>
    <t>Saco de lixo 60L, pacote 100 unidades, preto</t>
  </si>
  <si>
    <t>Saco de lixo 40L, pacote 100 unidades, preto</t>
  </si>
  <si>
    <t>Papel higiênico branco, folha dupla, rolo de 30m x 10 cm, fardo com 64 unidades, padrão de qualidade, mínima,QUALITÉ</t>
  </si>
  <si>
    <t>fardo</t>
  </si>
  <si>
    <t>Papel toalha branco 100% celulose interfolhado, com 1000 folhas de 20cm x 21cm</t>
  </si>
  <si>
    <t>Sabonete líquido para mãos, cremoso, concentrado, embalagem de 5 litros</t>
  </si>
  <si>
    <t>Esponja dupla face, verde a amarela, pacote com 10 unidades</t>
  </si>
  <si>
    <t>pacote c/ 10 unidades</t>
  </si>
  <si>
    <t>Prendedor de roupas, pacote com 12 unidades</t>
  </si>
  <si>
    <t>Pano de chão, 100% algodão, medidas aproximadas: 50 cm x 70 cm</t>
  </si>
  <si>
    <t>Flanela para limpeza, algodão, medidas aproximadas: 28x28 cm, pacote com 12 unidades</t>
  </si>
  <si>
    <t>Esponja de lã de aço (pacote com 8 unidades)</t>
  </si>
  <si>
    <t>Luvas de látex para limpeza pesada, cano longo, COR AZUL (limpeza dos banheiros) (tamanhos de acordo com os colaboradores)</t>
  </si>
  <si>
    <t>par</t>
  </si>
  <si>
    <t>Luvas de látex para limpeza pesada, COR AMARELA (limpeza em geral) (tamanhos de acordo com os colaboradores)</t>
  </si>
  <si>
    <t xml:space="preserve">CUSTO ANUAL DOS EQUIPAMENTOS </t>
  </si>
  <si>
    <t xml:space="preserve">CUSTO MENSAL DOS EQUIPAMENTOS </t>
  </si>
  <si>
    <t>EQUIPAMENTOS</t>
  </si>
  <si>
    <t>Quantidade a disponibilizar</t>
  </si>
  <si>
    <t>Depreciação (em meses)</t>
  </si>
  <si>
    <t>Lavador a jato de alta pressão, mínimo de 1500 psi, 220v</t>
  </si>
  <si>
    <t>Mangueira de jardim, PVC, reforçada, 50 metros, com esguicho e conector para torneira.</t>
  </si>
  <si>
    <t>Carro Estação de limpeza multifuncional com bolsa de vinil, padrão de qualidade BRALIMPIA</t>
  </si>
  <si>
    <t>Kit limpeza, balde com sistema de espremedor com pressão superior, capacidade para 24 litros, com placa sinalizadora de piso molhado e esfregão (mop preferencialmente com “rosca”). Com rodízios projetados para fácil manutenção e higienização, padrão de qualidade BRALIMPIA</t>
  </si>
  <si>
    <t>Kit</t>
  </si>
  <si>
    <t>Enceradeira industrial (lava piso), com diâmetro mínimo de 500cm, 220 v ou bivolt, certificada pelo INMETRO, cabo elétrico mínimo de 12m, com escova e suporte para discos.</t>
  </si>
  <si>
    <t>Conjunto completo Mop pó plus (vassourão), 60cm, padrão de qualidade BRALIMPIA</t>
  </si>
  <si>
    <t xml:space="preserve">Cabo Extensor de Alumínio Telescópico 7,5 m, 3 estágios, ajustável, padrão de qualidade BRALIMPIA </t>
  </si>
  <si>
    <t>Escada de alumínio de 6 degraus, dobrável, padrão de qualidade MOR</t>
  </si>
  <si>
    <t>Escada de alumínio de 8 degraus, dobrável, padrão de qualidade MOR</t>
  </si>
  <si>
    <t>Relógio biométrico eletrônico completo (biometria, controle de acesso e sofware)</t>
  </si>
  <si>
    <t>UNIFORMES</t>
  </si>
  <si>
    <t>Calça profissional, com 02 traseiros, em tecido oxford</t>
  </si>
  <si>
    <t>Jaleco em oxford, manga curta, com botões, bolso frontal com o logotipo da empresa bordado ou impresso.</t>
  </si>
  <si>
    <t>Camiseta em algodão, manga curta, gola careca, com o logotipo da empresa bordado ou impresso.</t>
  </si>
  <si>
    <t>Camiseta em algodão, manga Longa, gola careca, com o logotipo da empresa bordado ou impresso.</t>
  </si>
  <si>
    <t>Casaco/jaqueta,em nylon forrada, com zíper na frente, bolsos laterais, e o logotipo da empresa bordado ou impresso.</t>
  </si>
  <si>
    <t>Bota profissional, modelo ½ cano, em couro preto, solado em poliuretano (antiderrapante)</t>
  </si>
  <si>
    <t>Par</t>
  </si>
  <si>
    <t>Bota PVC, impermeável, preta, cano médio</t>
  </si>
  <si>
    <t>CUSTO ANUAL DOS UNIFORMES PARA 1 SERVENTE</t>
  </si>
  <si>
    <t>CUSTO MENSAL DOS UNIFORMES PARA 1 SERVENTE</t>
  </si>
  <si>
    <t>Resumo do Módulo 5 – Insumos Diversos – Servente</t>
  </si>
  <si>
    <t>QUADRO RESUMO</t>
  </si>
  <si>
    <t>CUSTO ANUAL</t>
  </si>
  <si>
    <t>CUSTO MENSAL</t>
  </si>
  <si>
    <t>Custo Mensal por SERVENTE</t>
  </si>
  <si>
    <t>TOTAIS</t>
  </si>
  <si>
    <t>Quantidade da mão de obra alocada na prestação dos serviços</t>
  </si>
  <si>
    <t>Total Anual</t>
  </si>
  <si>
    <t>OBS.: Pesquisa de preços realizada em site de lojas especializadas</t>
  </si>
  <si>
    <r>
      <t xml:space="preserve">Refil para MOP esfregão, </t>
    </r>
    <r>
      <rPr>
        <sz val="11"/>
        <color theme="1"/>
        <rFont val="Arial"/>
        <family val="2"/>
        <charset val="1"/>
      </rPr>
      <t xml:space="preserve">algodão, mínimo 340g, compatível com o cabo.correspondente ao kit de </t>
    </r>
    <r>
      <rPr>
        <sz val="10"/>
        <color theme="1"/>
        <rFont val="Arial"/>
        <family val="2"/>
      </rPr>
      <t>limpeza (preferencialmente com rosca)</t>
    </r>
    <r>
      <rPr>
        <sz val="11"/>
        <color rgb="FF000000"/>
        <rFont val="Arial"/>
        <family val="2"/>
        <charset val="1"/>
      </rPr>
      <t xml:space="preserve"> </t>
    </r>
    <r>
      <rPr>
        <b/>
        <sz val="11"/>
        <color rgb="FF000000"/>
        <rFont val="Arial"/>
        <family val="2"/>
      </rPr>
      <t>(*)</t>
    </r>
  </si>
  <si>
    <r>
      <t>Refil para MOP  pó 60cm (vassourão), compatível com o equipamento fornecido.</t>
    </r>
    <r>
      <rPr>
        <b/>
        <sz val="10.5"/>
        <color rgb="FF000000"/>
        <rFont val="Arial"/>
        <family val="2"/>
      </rPr>
      <t>(*)</t>
    </r>
  </si>
  <si>
    <r>
      <t xml:space="preserve">Balde plástico, com alça, 18 litros </t>
    </r>
    <r>
      <rPr>
        <b/>
        <sz val="10.5"/>
        <color rgb="FF000000"/>
        <rFont val="Arial"/>
        <family val="2"/>
      </rPr>
      <t>(*)</t>
    </r>
  </si>
  <si>
    <r>
      <t xml:space="preserve">Desentupidor de pia, padrão Bettanin. </t>
    </r>
    <r>
      <rPr>
        <b/>
        <sz val="10.5"/>
        <color rgb="FF000000"/>
        <rFont val="Arial"/>
        <family val="2"/>
      </rPr>
      <t>(*)</t>
    </r>
  </si>
  <si>
    <r>
      <t xml:space="preserve">Desentupidor de vaso sanitário com cabo, 60 cm </t>
    </r>
    <r>
      <rPr>
        <b/>
        <sz val="10.5"/>
        <color rgb="FF000000"/>
        <rFont val="Arial"/>
        <family val="2"/>
      </rPr>
      <t xml:space="preserve">(*) </t>
    </r>
  </si>
  <si>
    <r>
      <t xml:space="preserve">Escova nylon manual, cerdas duras, ovalada, medidas aproximadas: 12cm X 7cm X 4cm </t>
    </r>
    <r>
      <rPr>
        <b/>
        <sz val="10.5"/>
        <color rgb="FF000000"/>
        <rFont val="Arial"/>
        <family val="2"/>
      </rPr>
      <t>(*)</t>
    </r>
  </si>
  <si>
    <r>
      <t>Escova para vaso sanitário, resistente e durável, cerdas crespas, formato circular para uma limpeza mais profunda, dimensões aproximadas: 37,5cm x 14cm x 12,5cm  (C-L-A)</t>
    </r>
    <r>
      <rPr>
        <b/>
        <sz val="10.5"/>
        <color rgb="FF000000"/>
        <rFont val="Arial"/>
        <family val="2"/>
      </rPr>
      <t xml:space="preserve"> (*)</t>
    </r>
  </si>
  <si>
    <r>
      <t>Extensão elétrica, certificada, cabo Pp 2x2,5mm,  20 a, 30 metros</t>
    </r>
    <r>
      <rPr>
        <b/>
        <sz val="10.5"/>
        <color rgb="FF000000"/>
        <rFont val="Arial"/>
        <family val="2"/>
      </rPr>
      <t xml:space="preserve"> (*)</t>
    </r>
  </si>
  <si>
    <r>
      <t xml:space="preserve">Varal de chão  portátil, com abas </t>
    </r>
    <r>
      <rPr>
        <b/>
        <sz val="10.5"/>
        <color rgb="FF000000"/>
        <rFont val="Arial"/>
        <family val="2"/>
      </rPr>
      <t>(*)</t>
    </r>
  </si>
  <si>
    <r>
      <t xml:space="preserve">Pá de Lixo, plástica, cabo longo, no mínimo 80 cm </t>
    </r>
    <r>
      <rPr>
        <b/>
        <sz val="10.5"/>
        <color rgb="FF000000"/>
        <rFont val="Arial"/>
        <family val="2"/>
      </rPr>
      <t>(*)</t>
    </r>
  </si>
  <si>
    <r>
      <t xml:space="preserve">Pano de limpeza multiuso, com agente bactericida, 35 g, 27 cm, bobina com 300 m (tipo perflex nobre) </t>
    </r>
    <r>
      <rPr>
        <b/>
        <sz val="10.5"/>
        <color rgb="FF000000"/>
        <rFont val="Arial"/>
        <family val="2"/>
      </rPr>
      <t>(*)</t>
    </r>
  </si>
  <si>
    <r>
      <t xml:space="preserve">Vassoura de nylon, 30 cm,  c/ cabo longo (120 cm), padrão de qualidade BETTANIN/CONDOR </t>
    </r>
    <r>
      <rPr>
        <b/>
        <sz val="10.5"/>
        <color theme="1"/>
        <rFont val="Arial"/>
        <family val="2"/>
      </rPr>
      <t>(*)</t>
    </r>
  </si>
  <si>
    <r>
      <t xml:space="preserve">Borrifador de líquidos, com bico borrifador, cap.: 500 ml </t>
    </r>
    <r>
      <rPr>
        <b/>
        <sz val="10.5"/>
        <color rgb="FF000000"/>
        <rFont val="Arial"/>
        <family val="2"/>
      </rPr>
      <t>(*)</t>
    </r>
  </si>
  <si>
    <r>
      <t xml:space="preserve">Discos para enceradeira/lavadora de pisos, de acordo com o equipamento fornecido na cor preta, 300mm </t>
    </r>
    <r>
      <rPr>
        <b/>
        <sz val="10.5"/>
        <color rgb="FF000000"/>
        <rFont val="Arial"/>
        <family val="2"/>
      </rPr>
      <t>(*)</t>
    </r>
  </si>
  <si>
    <r>
      <t xml:space="preserve">Discos para enceradeira/lavadora de pisos, de acordo com o equipamento fornecido na cor vermelha, 300mm </t>
    </r>
    <r>
      <rPr>
        <b/>
        <sz val="10.5"/>
        <color rgb="FF000000"/>
        <rFont val="Arial"/>
        <family val="2"/>
      </rPr>
      <t>(*)</t>
    </r>
  </si>
  <si>
    <r>
      <t>Saco para aspirador de pó LAVOR, VAC 22, kit com 03 unidades. (Marca especificada, equipamento próprio da unidade administrativa)</t>
    </r>
    <r>
      <rPr>
        <b/>
        <sz val="10.5"/>
        <color rgb="FF000000"/>
        <rFont val="Arial"/>
        <family val="2"/>
      </rPr>
      <t xml:space="preserve"> (*)</t>
    </r>
  </si>
  <si>
    <r>
      <t xml:space="preserve">Mascara respiratória descartável com filtro mecânico (máscara PFF, com válvula) </t>
    </r>
    <r>
      <rPr>
        <b/>
        <sz val="10.5"/>
        <color rgb="FF000000"/>
        <rFont val="Arial"/>
        <family val="2"/>
      </rPr>
      <t>(*)</t>
    </r>
  </si>
  <si>
    <r>
      <t xml:space="preserve">Rodo 60cm, borracha dupla, com cabo </t>
    </r>
    <r>
      <rPr>
        <b/>
        <sz val="10.5"/>
        <color rgb="FF000000"/>
        <rFont val="Arial"/>
        <family val="2"/>
      </rPr>
      <t>(*)</t>
    </r>
  </si>
  <si>
    <r>
      <t xml:space="preserve">Óculos de proteção lente incolor </t>
    </r>
    <r>
      <rPr>
        <b/>
        <sz val="10.5"/>
        <color rgb="FF000000"/>
        <rFont val="Arial"/>
        <family val="2"/>
      </rPr>
      <t>(*)</t>
    </r>
  </si>
  <si>
    <r>
      <t xml:space="preserve">Rodo limpa vidros, combinado, 45 cm, padrão de qualidade BRALIMPIA </t>
    </r>
    <r>
      <rPr>
        <b/>
        <sz val="10.5"/>
        <color rgb="FF000000"/>
        <rFont val="Arial"/>
        <family val="2"/>
      </rPr>
      <t>(*)</t>
    </r>
  </si>
  <si>
    <r>
      <t xml:space="preserve">Crachá em PVC, frente, com cordão, foto e dados </t>
    </r>
    <r>
      <rPr>
        <b/>
        <sz val="10.5"/>
        <color rgb="FF000000"/>
        <rFont val="Arial"/>
        <family val="2"/>
      </rPr>
      <t>(*)</t>
    </r>
  </si>
  <si>
    <r>
      <t xml:space="preserve">Legenda: </t>
    </r>
    <r>
      <rPr>
        <b/>
        <i/>
        <sz val="10"/>
        <color rgb="FF000000"/>
        <rFont val="Arial"/>
        <family val="2"/>
      </rPr>
      <t xml:space="preserve">(*) </t>
    </r>
    <r>
      <rPr>
        <i/>
        <sz val="10"/>
        <color rgb="FF000000"/>
        <rFont val="Arial"/>
        <family val="2"/>
      </rPr>
      <t>Observar Item 7.2.2 do ETP</t>
    </r>
  </si>
  <si>
    <r>
      <t xml:space="preserve">Discos para enceradeira/lavadora de pisos, de acordo com o equipamento fornecido na cor verde, 300mm </t>
    </r>
    <r>
      <rPr>
        <b/>
        <sz val="10.5"/>
        <color rgb="FF000000"/>
        <rFont val="Arial"/>
        <family val="2"/>
      </rPr>
      <t>(*)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</si>
</sst>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mm/dd/yyyy"/>
    <numFmt numFmtId="165" formatCode="[$R$-416]\ #,##0.00;[Red]\-[$R$-416]\ #,##0.00"/>
    <numFmt numFmtId="166" formatCode="_-&quot;R$ &quot;* #,##0.00_-;&quot;-R$ &quot;* #,##0.00_-;_-&quot;R$ &quot;* \-??_-;_-@_-"/>
    <numFmt numFmtId="167" formatCode="0.000%"/>
    <numFmt numFmtId="168" formatCode="0.0000"/>
    <numFmt numFmtId="169" formatCode="0.0000%"/>
    <numFmt numFmtId="170" formatCode="&quot;R$ &quot;#,##0.00"/>
    <numFmt numFmtId="171" formatCode="#,##0.0000000"/>
    <numFmt numFmtId="172" formatCode="#,##0.00\ ;\(#,##0.00\)"/>
    <numFmt numFmtId="173" formatCode="d/m/yyyy"/>
    <numFmt numFmtId="174" formatCode="#,##0.00\ ;\(#,##0.00\);\-#\ ;@\ "/>
    <numFmt numFmtId="175" formatCode="000"/>
    <numFmt numFmtId="176" formatCode="0.0"/>
    <numFmt numFmtId="177" formatCode="_-&quot;R$ &quot;* #,##0.00_-;&quot;-R$ &quot;* #,##0.00_-;_-&quot;R$ &quot;* \-??_-;_-@"/>
  </numFmts>
  <fonts count="58">
    <font>
      <sz val="10"/>
      <color rgb="FF000000"/>
      <name val="Arial"/>
      <charset val="1"/>
    </font>
    <font>
      <sz val="10"/>
      <color rgb="FFFF0000"/>
      <name val="Arial"/>
      <family val="2"/>
      <charset val="1"/>
    </font>
    <font>
      <sz val="10"/>
      <color rgb="FFFFFFFF"/>
      <name val="Arial"/>
      <family val="2"/>
      <charset val="1"/>
    </font>
    <font>
      <b/>
      <sz val="18"/>
      <color rgb="FF800080"/>
      <name val="Arial"/>
      <family val="2"/>
      <charset val="1"/>
    </font>
    <font>
      <b/>
      <sz val="18"/>
      <color rgb="FFFF0000"/>
      <name val="Arial"/>
      <family val="2"/>
      <charset val="1"/>
    </font>
    <font>
      <b/>
      <sz val="18"/>
      <color rgb="FFFF400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15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0"/>
      <color rgb="FF00A933"/>
      <name val="Arial"/>
      <family val="2"/>
      <charset val="1"/>
    </font>
    <font>
      <b/>
      <sz val="12"/>
      <color rgb="FFFF0000"/>
      <name val="Arial"/>
      <family val="2"/>
      <charset val="1"/>
    </font>
    <font>
      <b/>
      <sz val="8"/>
      <color rgb="FF00A933"/>
      <name val="Arial"/>
      <family val="2"/>
      <charset val="1"/>
    </font>
    <font>
      <b/>
      <sz val="9"/>
      <color rgb="FFFF0000"/>
      <name val="Arial"/>
      <family val="2"/>
      <charset val="1"/>
    </font>
    <font>
      <b/>
      <strike/>
      <sz val="10"/>
      <color rgb="FF009900"/>
      <name val="Arial"/>
      <family val="2"/>
      <charset val="1"/>
    </font>
    <font>
      <b/>
      <sz val="8"/>
      <color rgb="FFFF0000"/>
      <name val="Arial"/>
      <family val="2"/>
    </font>
    <font>
      <b/>
      <sz val="8"/>
      <color rgb="FF00A933"/>
      <name val="Arial"/>
      <family val="2"/>
    </font>
    <font>
      <b/>
      <sz val="10"/>
      <color rgb="FF0000FF"/>
      <name val="Arial"/>
      <family val="2"/>
      <charset val="1"/>
    </font>
    <font>
      <b/>
      <sz val="11"/>
      <color rgb="FF0000FF"/>
      <name val="Arial"/>
      <family val="2"/>
      <charset val="1"/>
    </font>
    <font>
      <b/>
      <sz val="10"/>
      <color rgb="FF000000"/>
      <name val="Arial"/>
      <family val="2"/>
    </font>
    <font>
      <b/>
      <sz val="10"/>
      <color rgb="FF00A933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sz val="9"/>
      <color rgb="FF00A933"/>
      <name val="Arial"/>
      <family val="2"/>
      <charset val="1"/>
    </font>
    <font>
      <b/>
      <sz val="9"/>
      <color rgb="FF000000"/>
      <name val="Arial"/>
      <family val="2"/>
      <charset val="1"/>
    </font>
    <font>
      <sz val="10"/>
      <color rgb="FFFF3333"/>
      <name val="Arial"/>
      <family val="2"/>
      <charset val="1"/>
    </font>
    <font>
      <b/>
      <sz val="10"/>
      <color rgb="FFFF3333"/>
      <name val="Arial"/>
      <family val="2"/>
      <charset val="1"/>
    </font>
    <font>
      <sz val="9"/>
      <color rgb="FF000000"/>
      <name val="Arial"/>
      <family val="2"/>
      <charset val="1"/>
    </font>
    <font>
      <sz val="9"/>
      <color rgb="FFFF0000"/>
      <name val="Arial"/>
      <family val="2"/>
      <charset val="1"/>
    </font>
    <font>
      <b/>
      <sz val="8"/>
      <color rgb="FF000000"/>
      <name val="Arial"/>
      <family val="2"/>
      <charset val="1"/>
    </font>
    <font>
      <b/>
      <sz val="10"/>
      <color rgb="FFFF6600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4"/>
      <color rgb="FFFF0000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10.5"/>
      <color rgb="FF000080"/>
      <name val="Arial"/>
      <family val="2"/>
      <charset val="1"/>
    </font>
    <font>
      <sz val="10.5"/>
      <name val="Arial"/>
      <family val="2"/>
      <charset val="128"/>
    </font>
    <font>
      <sz val="10.5"/>
      <color rgb="FF000000"/>
      <name val="Arial"/>
      <family val="2"/>
      <charset val="128"/>
    </font>
    <font>
      <sz val="10.5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theme="1"/>
      <name val="Arial"/>
      <family val="2"/>
    </font>
    <font>
      <sz val="10.5"/>
      <color theme="1"/>
      <name val="Arial"/>
      <family val="2"/>
      <charset val="1"/>
    </font>
    <font>
      <b/>
      <sz val="10.5"/>
      <color rgb="FF000000"/>
      <name val="Arial"/>
      <family val="2"/>
      <charset val="1"/>
    </font>
    <font>
      <b/>
      <sz val="14"/>
      <color rgb="FF000080"/>
      <name val="Arial"/>
      <family val="2"/>
      <charset val="1"/>
    </font>
    <font>
      <b/>
      <sz val="10"/>
      <color rgb="FF000080"/>
      <name val="Arial"/>
      <family val="2"/>
      <charset val="1"/>
    </font>
    <font>
      <sz val="14"/>
      <color rgb="FF000000"/>
      <name val="Arial"/>
      <family val="2"/>
      <charset val="1"/>
    </font>
    <font>
      <b/>
      <sz val="14"/>
      <color rgb="FF0000FF"/>
      <name val="Arial"/>
      <family val="2"/>
      <charset val="1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0.5"/>
      <color rgb="FF000000"/>
      <name val="Arial"/>
      <family val="2"/>
    </font>
    <font>
      <b/>
      <sz val="10.5"/>
      <color theme="1"/>
      <name val="Arial"/>
      <family val="2"/>
    </font>
    <font>
      <i/>
      <sz val="10"/>
      <color rgb="FF000000"/>
      <name val="Arial"/>
      <family val="2"/>
    </font>
    <font>
      <b/>
      <i/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FFFF00"/>
        <bgColor rgb="FFFFF200"/>
      </patternFill>
    </fill>
    <fill>
      <patternFill patternType="solid">
        <fgColor rgb="FFCCFFFF"/>
        <bgColor rgb="FFCCFFFF"/>
      </patternFill>
    </fill>
    <fill>
      <patternFill patternType="solid">
        <fgColor rgb="FFFFF2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B2B2B2"/>
        <bgColor rgb="FFA5A5A5"/>
      </patternFill>
    </fill>
    <fill>
      <patternFill patternType="solid">
        <fgColor rgb="FFA5A5A5"/>
        <bgColor rgb="FFB2B2B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6" fontId="52" fillId="0" borderId="0" applyBorder="0" applyProtection="0"/>
    <xf numFmtId="9" fontId="10" fillId="0" borderId="0" applyBorder="0" applyProtection="0"/>
  </cellStyleXfs>
  <cellXfs count="282">
    <xf numFmtId="0" fontId="0" fillId="0" borderId="0" xfId="0"/>
    <xf numFmtId="0" fontId="7" fillId="4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7" fillId="0" borderId="1" xfId="0" applyFont="1" applyBorder="1" applyAlignment="1">
      <alignment horizontal="center" vertical="center" wrapText="1"/>
    </xf>
    <xf numFmtId="166" fontId="2" fillId="0" borderId="0" xfId="1" applyFont="1" applyBorder="1" applyAlignment="1" applyProtection="1">
      <alignment vertical="center"/>
    </xf>
    <xf numFmtId="166" fontId="2" fillId="0" borderId="0" xfId="1" applyFont="1" applyBorder="1" applyProtection="1"/>
    <xf numFmtId="167" fontId="2" fillId="0" borderId="0" xfId="2" applyNumberFormat="1" applyFont="1" applyBorder="1" applyProtection="1"/>
    <xf numFmtId="4" fontId="1" fillId="0" borderId="0" xfId="0" applyNumberFormat="1" applyFont="1"/>
    <xf numFmtId="166" fontId="2" fillId="0" borderId="0" xfId="0" applyNumberFormat="1" applyFont="1"/>
    <xf numFmtId="0" fontId="0" fillId="0" borderId="0" xfId="0" applyAlignment="1">
      <alignment wrapText="1"/>
    </xf>
    <xf numFmtId="0" fontId="7" fillId="0" borderId="12" xfId="0" applyFont="1" applyBorder="1" applyAlignment="1">
      <alignment vertical="center" wrapText="1"/>
    </xf>
    <xf numFmtId="0" fontId="11" fillId="0" borderId="13" xfId="0" applyFont="1" applyBorder="1"/>
    <xf numFmtId="0" fontId="9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vertical="center" wrapText="1"/>
    </xf>
    <xf numFmtId="0" fontId="10" fillId="0" borderId="0" xfId="0" applyFont="1" applyAlignment="1">
      <alignment wrapText="1"/>
    </xf>
    <xf numFmtId="10" fontId="7" fillId="0" borderId="1" xfId="0" applyNumberFormat="1" applyFont="1" applyBorder="1" applyAlignment="1">
      <alignment vertical="center"/>
    </xf>
    <xf numFmtId="165" fontId="7" fillId="0" borderId="1" xfId="0" applyNumberFormat="1" applyFont="1" applyBorder="1" applyAlignment="1">
      <alignment vertical="center"/>
    </xf>
    <xf numFmtId="0" fontId="16" fillId="0" borderId="0" xfId="0" applyFont="1"/>
    <xf numFmtId="165" fontId="9" fillId="2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right" vertical="center"/>
    </xf>
    <xf numFmtId="167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right"/>
    </xf>
    <xf numFmtId="165" fontId="7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10" fontId="8" fillId="0" borderId="1" xfId="0" applyNumberFormat="1" applyFont="1" applyBorder="1" applyAlignment="1">
      <alignment horizontal="right" vertical="center"/>
    </xf>
    <xf numFmtId="10" fontId="8" fillId="0" borderId="1" xfId="0" applyNumberFormat="1" applyFont="1" applyBorder="1" applyAlignment="1">
      <alignment horizontal="left" vertical="center" wrapText="1"/>
    </xf>
    <xf numFmtId="168" fontId="8" fillId="0" borderId="1" xfId="0" applyNumberFormat="1" applyFont="1" applyBorder="1" applyAlignment="1">
      <alignment horizontal="left" vertical="center" wrapText="1"/>
    </xf>
    <xf numFmtId="169" fontId="8" fillId="0" borderId="1" xfId="0" applyNumberFormat="1" applyFont="1" applyBorder="1" applyAlignment="1">
      <alignment horizontal="right" vertical="center"/>
    </xf>
    <xf numFmtId="169" fontId="7" fillId="2" borderId="1" xfId="0" applyNumberFormat="1" applyFont="1" applyFill="1" applyBorder="1" applyAlignment="1">
      <alignment horizontal="right" vertical="center"/>
    </xf>
    <xf numFmtId="170" fontId="18" fillId="0" borderId="1" xfId="0" applyNumberFormat="1" applyFont="1" applyBorder="1" applyAlignment="1">
      <alignment vertical="center"/>
    </xf>
    <xf numFmtId="165" fontId="7" fillId="0" borderId="1" xfId="0" applyNumberFormat="1" applyFont="1" applyBorder="1" applyAlignment="1">
      <alignment horizontal="center" vertical="center"/>
    </xf>
    <xf numFmtId="0" fontId="14" fillId="0" borderId="0" xfId="0" applyFont="1"/>
    <xf numFmtId="4" fontId="18" fillId="0" borderId="1" xfId="0" applyNumberFormat="1" applyFont="1" applyBorder="1" applyAlignment="1">
      <alignment vertical="center"/>
    </xf>
    <xf numFmtId="3" fontId="18" fillId="0" borderId="1" xfId="0" applyNumberFormat="1" applyFont="1" applyBorder="1" applyAlignment="1">
      <alignment vertical="center"/>
    </xf>
    <xf numFmtId="0" fontId="10" fillId="0" borderId="0" xfId="0" applyFont="1"/>
    <xf numFmtId="0" fontId="19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right" vertical="center" wrapText="1"/>
    </xf>
    <xf numFmtId="165" fontId="7" fillId="2" borderId="1" xfId="0" applyNumberFormat="1" applyFont="1" applyFill="1" applyBorder="1" applyAlignment="1">
      <alignment horizontal="right" vertical="center" wrapText="1"/>
    </xf>
    <xf numFmtId="165" fontId="0" fillId="0" borderId="0" xfId="0" applyNumberFormat="1"/>
    <xf numFmtId="10" fontId="22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/>
    </xf>
    <xf numFmtId="165" fontId="7" fillId="0" borderId="1" xfId="0" applyNumberFormat="1" applyFont="1" applyBorder="1"/>
    <xf numFmtId="165" fontId="7" fillId="2" borderId="1" xfId="0" applyNumberFormat="1" applyFont="1" applyFill="1" applyBorder="1" applyAlignment="1">
      <alignment horizontal="right"/>
    </xf>
    <xf numFmtId="4" fontId="9" fillId="2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/>
    </xf>
    <xf numFmtId="4" fontId="7" fillId="2" borderId="1" xfId="0" applyNumberFormat="1" applyFont="1" applyFill="1" applyBorder="1" applyAlignment="1">
      <alignment horizontal="right" vertical="center"/>
    </xf>
    <xf numFmtId="0" fontId="9" fillId="2" borderId="14" xfId="0" applyFont="1" applyFill="1" applyBorder="1" applyAlignment="1">
      <alignment horizontal="center" vertical="center"/>
    </xf>
    <xf numFmtId="165" fontId="7" fillId="0" borderId="15" xfId="0" applyNumberFormat="1" applyFont="1" applyBorder="1" applyAlignment="1">
      <alignment horizontal="right" vertical="center"/>
    </xf>
    <xf numFmtId="165" fontId="7" fillId="0" borderId="15" xfId="0" applyNumberFormat="1" applyFont="1" applyBorder="1" applyAlignment="1">
      <alignment horizontal="right" vertical="center" wrapText="1"/>
    </xf>
    <xf numFmtId="165" fontId="7" fillId="2" borderId="15" xfId="0" applyNumberFormat="1" applyFont="1" applyFill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right" vertical="center" wrapText="1"/>
    </xf>
    <xf numFmtId="10" fontId="15" fillId="0" borderId="1" xfId="0" applyNumberFormat="1" applyFont="1" applyBorder="1" applyAlignment="1">
      <alignment horizontal="right" vertical="center"/>
    </xf>
    <xf numFmtId="165" fontId="15" fillId="0" borderId="1" xfId="0" applyNumberFormat="1" applyFont="1" applyBorder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wrapText="1"/>
    </xf>
    <xf numFmtId="3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9" fontId="1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171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center" vertical="center" wrapText="1"/>
    </xf>
    <xf numFmtId="172" fontId="8" fillId="2" borderId="1" xfId="0" applyNumberFormat="1" applyFont="1" applyFill="1" applyBorder="1" applyAlignment="1">
      <alignment horizontal="right"/>
    </xf>
    <xf numFmtId="172" fontId="7" fillId="0" borderId="1" xfId="0" applyNumberFormat="1" applyFont="1" applyBorder="1" applyAlignment="1">
      <alignment horizontal="right"/>
    </xf>
    <xf numFmtId="4" fontId="7" fillId="0" borderId="1" xfId="0" applyNumberFormat="1" applyFont="1" applyBorder="1"/>
    <xf numFmtId="172" fontId="8" fillId="0" borderId="1" xfId="0" applyNumberFormat="1" applyFont="1" applyBorder="1" applyAlignment="1">
      <alignment horizontal="right"/>
    </xf>
    <xf numFmtId="165" fontId="8" fillId="0" borderId="1" xfId="0" applyNumberFormat="1" applyFont="1" applyBorder="1" applyAlignment="1">
      <alignment horizontal="right"/>
    </xf>
    <xf numFmtId="0" fontId="7" fillId="6" borderId="1" xfId="0" applyFont="1" applyFill="1" applyBorder="1" applyAlignment="1">
      <alignment horizontal="center" vertical="center"/>
    </xf>
    <xf numFmtId="165" fontId="0" fillId="0" borderId="15" xfId="0" applyNumberFormat="1" applyBorder="1"/>
    <xf numFmtId="4" fontId="8" fillId="2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4" fontId="8" fillId="0" borderId="1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0" fontId="39" fillId="7" borderId="15" xfId="0" applyFont="1" applyFill="1" applyBorder="1" applyAlignment="1">
      <alignment horizontal="center" vertical="center" wrapText="1"/>
    </xf>
    <xf numFmtId="174" fontId="39" fillId="7" borderId="15" xfId="0" applyNumberFormat="1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horizontal="left" vertical="center" wrapText="1"/>
    </xf>
    <xf numFmtId="0" fontId="42" fillId="0" borderId="15" xfId="0" applyFont="1" applyBorder="1" applyAlignment="1">
      <alignment horizontal="center" vertical="center" wrapText="1"/>
    </xf>
    <xf numFmtId="175" fontId="42" fillId="0" borderId="15" xfId="0" applyNumberFormat="1" applyFont="1" applyBorder="1" applyAlignment="1">
      <alignment horizontal="center" vertical="center"/>
    </xf>
    <xf numFmtId="165" fontId="42" fillId="0" borderId="15" xfId="0" applyNumberFormat="1" applyFont="1" applyBorder="1" applyAlignment="1">
      <alignment horizontal="right" vertical="center"/>
    </xf>
    <xf numFmtId="0" fontId="42" fillId="6" borderId="15" xfId="0" applyFont="1" applyFill="1" applyBorder="1" applyAlignment="1">
      <alignment horizontal="left" vertical="center" wrapText="1"/>
    </xf>
    <xf numFmtId="0" fontId="42" fillId="6" borderId="15" xfId="0" applyFont="1" applyFill="1" applyBorder="1" applyAlignment="1">
      <alignment horizontal="center" vertical="center" wrapText="1"/>
    </xf>
    <xf numFmtId="175" fontId="42" fillId="6" borderId="15" xfId="0" applyNumberFormat="1" applyFont="1" applyFill="1" applyBorder="1" applyAlignment="1">
      <alignment horizontal="center" vertical="center"/>
    </xf>
    <xf numFmtId="0" fontId="42" fillId="0" borderId="15" xfId="0" applyFont="1" applyBorder="1" applyAlignment="1">
      <alignment horizontal="left" vertical="center" wrapText="1"/>
    </xf>
    <xf numFmtId="0" fontId="42" fillId="0" borderId="15" xfId="0" applyFont="1" applyBorder="1" applyAlignment="1">
      <alignment vertical="center"/>
    </xf>
    <xf numFmtId="0" fontId="42" fillId="0" borderId="15" xfId="0" applyFont="1" applyBorder="1" applyAlignment="1">
      <alignment vertical="center" wrapText="1"/>
    </xf>
    <xf numFmtId="0" fontId="42" fillId="0" borderId="15" xfId="0" applyFont="1" applyBorder="1" applyAlignment="1">
      <alignment horizontal="left" vertical="center" shrinkToFit="1"/>
    </xf>
    <xf numFmtId="0" fontId="42" fillId="6" borderId="15" xfId="0" applyFont="1" applyFill="1" applyBorder="1" applyAlignment="1">
      <alignment vertical="center" wrapText="1"/>
    </xf>
    <xf numFmtId="0" fontId="42" fillId="6" borderId="15" xfId="0" applyFont="1" applyFill="1" applyBorder="1" applyAlignment="1">
      <alignment horizontal="center" vertical="center"/>
    </xf>
    <xf numFmtId="0" fontId="46" fillId="0" borderId="15" xfId="0" applyFont="1" applyBorder="1" applyAlignment="1">
      <alignment horizontal="left" vertical="center" wrapText="1"/>
    </xf>
    <xf numFmtId="0" fontId="42" fillId="0" borderId="0" xfId="0" applyFont="1" applyAlignment="1">
      <alignment vertical="center" wrapText="1"/>
    </xf>
    <xf numFmtId="165" fontId="47" fillId="7" borderId="15" xfId="0" applyNumberFormat="1" applyFont="1" applyFill="1" applyBorder="1" applyAlignment="1">
      <alignment horizontal="right" vertical="center"/>
    </xf>
    <xf numFmtId="165" fontId="7" fillId="7" borderId="15" xfId="0" applyNumberFormat="1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174" fontId="10" fillId="0" borderId="0" xfId="0" applyNumberFormat="1" applyFont="1" applyAlignment="1">
      <alignment horizontal="right" vertical="center"/>
    </xf>
    <xf numFmtId="176" fontId="42" fillId="0" borderId="15" xfId="0" applyNumberFormat="1" applyFont="1" applyBorder="1" applyAlignment="1">
      <alignment horizontal="center" vertical="center"/>
    </xf>
    <xf numFmtId="165" fontId="42" fillId="6" borderId="15" xfId="0" applyNumberFormat="1" applyFont="1" applyFill="1" applyBorder="1" applyAlignment="1">
      <alignment horizontal="center" vertical="center"/>
    </xf>
    <xf numFmtId="165" fontId="42" fillId="6" borderId="15" xfId="0" applyNumberFormat="1" applyFont="1" applyFill="1" applyBorder="1" applyAlignment="1">
      <alignment horizontal="right" vertical="center"/>
    </xf>
    <xf numFmtId="0" fontId="42" fillId="0" borderId="15" xfId="0" applyFont="1" applyBorder="1" applyAlignment="1">
      <alignment horizontal="center" vertical="center"/>
    </xf>
    <xf numFmtId="165" fontId="42" fillId="0" borderId="15" xfId="0" applyNumberFormat="1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8" fillId="7" borderId="15" xfId="0" applyFont="1" applyFill="1" applyBorder="1" applyAlignment="1">
      <alignment horizontal="center" vertical="center" wrapText="1"/>
    </xf>
    <xf numFmtId="0" fontId="49" fillId="7" borderId="15" xfId="0" applyFont="1" applyFill="1" applyBorder="1" applyAlignment="1">
      <alignment horizontal="center" vertical="center" wrapText="1"/>
    </xf>
    <xf numFmtId="174" fontId="49" fillId="7" borderId="15" xfId="0" applyNumberFormat="1" applyFont="1" applyFill="1" applyBorder="1" applyAlignment="1">
      <alignment horizontal="center" vertical="center" wrapText="1"/>
    </xf>
    <xf numFmtId="1" fontId="42" fillId="6" borderId="15" xfId="0" applyNumberFormat="1" applyFont="1" applyFill="1" applyBorder="1" applyAlignment="1">
      <alignment horizontal="center" vertical="center"/>
    </xf>
    <xf numFmtId="166" fontId="0" fillId="0" borderId="0" xfId="0" applyNumberFormat="1"/>
    <xf numFmtId="1" fontId="42" fillId="0" borderId="15" xfId="0" applyNumberFormat="1" applyFont="1" applyBorder="1" applyAlignment="1">
      <alignment horizontal="center" vertical="center"/>
    </xf>
    <xf numFmtId="177" fontId="7" fillId="7" borderId="15" xfId="0" applyNumberFormat="1" applyFont="1" applyFill="1" applyBorder="1" applyAlignment="1">
      <alignment horizontal="right" vertical="center"/>
    </xf>
    <xf numFmtId="0" fontId="48" fillId="7" borderId="1" xfId="0" applyFont="1" applyFill="1" applyBorder="1" applyAlignment="1">
      <alignment horizontal="center" vertical="center"/>
    </xf>
    <xf numFmtId="177" fontId="36" fillId="7" borderId="1" xfId="0" applyNumberFormat="1" applyFont="1" applyFill="1" applyBorder="1" applyAlignment="1">
      <alignment vertical="center"/>
    </xf>
    <xf numFmtId="4" fontId="36" fillId="0" borderId="0" xfId="0" applyNumberFormat="1" applyFont="1" applyAlignment="1">
      <alignment vertical="center"/>
    </xf>
    <xf numFmtId="4" fontId="48" fillId="0" borderId="0" xfId="0" applyNumberFormat="1" applyFont="1" applyAlignment="1">
      <alignment horizontal="right" vertical="center"/>
    </xf>
    <xf numFmtId="174" fontId="50" fillId="0" borderId="0" xfId="0" applyNumberFormat="1" applyFont="1" applyAlignment="1">
      <alignment horizontal="right" vertical="center"/>
    </xf>
    <xf numFmtId="0" fontId="50" fillId="0" borderId="0" xfId="0" applyFont="1" applyAlignment="1">
      <alignment vertical="center"/>
    </xf>
    <xf numFmtId="0" fontId="36" fillId="8" borderId="1" xfId="0" applyFont="1" applyFill="1" applyBorder="1" applyAlignment="1">
      <alignment vertical="center"/>
    </xf>
    <xf numFmtId="49" fontId="0" fillId="0" borderId="0" xfId="0" applyNumberFormat="1"/>
    <xf numFmtId="0" fontId="56" fillId="0" borderId="0" xfId="0" applyFont="1"/>
    <xf numFmtId="0" fontId="43" fillId="9" borderId="15" xfId="0" applyFont="1" applyFill="1" applyBorder="1" applyAlignment="1">
      <alignment horizontal="left" vertical="center" wrapText="1"/>
    </xf>
    <xf numFmtId="0" fontId="42" fillId="9" borderId="15" xfId="0" applyFont="1" applyFill="1" applyBorder="1" applyAlignment="1">
      <alignment horizontal="center" vertical="center" wrapText="1"/>
    </xf>
    <xf numFmtId="175" fontId="42" fillId="9" borderId="15" xfId="0" applyNumberFormat="1" applyFont="1" applyFill="1" applyBorder="1" applyAlignment="1">
      <alignment horizontal="center" vertical="center"/>
    </xf>
    <xf numFmtId="165" fontId="42" fillId="9" borderId="15" xfId="0" applyNumberFormat="1" applyFont="1" applyFill="1" applyBorder="1" applyAlignment="1">
      <alignment horizontal="right" vertical="center"/>
    </xf>
    <xf numFmtId="0" fontId="42" fillId="9" borderId="15" xfId="0" applyFont="1" applyFill="1" applyBorder="1" applyAlignment="1">
      <alignment horizontal="left" vertical="center" wrapText="1"/>
    </xf>
    <xf numFmtId="0" fontId="42" fillId="9" borderId="15" xfId="0" applyFont="1" applyFill="1" applyBorder="1" applyAlignment="1">
      <alignment vertical="center" wrapText="1"/>
    </xf>
    <xf numFmtId="0" fontId="42" fillId="10" borderId="15" xfId="0" applyFont="1" applyFill="1" applyBorder="1" applyAlignment="1">
      <alignment vertical="center" wrapText="1"/>
    </xf>
    <xf numFmtId="0" fontId="42" fillId="10" borderId="15" xfId="0" applyFont="1" applyFill="1" applyBorder="1" applyAlignment="1">
      <alignment horizontal="center" vertical="center" wrapText="1"/>
    </xf>
    <xf numFmtId="175" fontId="42" fillId="10" borderId="15" xfId="0" applyNumberFormat="1" applyFont="1" applyFill="1" applyBorder="1" applyAlignment="1">
      <alignment horizontal="center" vertical="center"/>
    </xf>
    <xf numFmtId="0" fontId="42" fillId="10" borderId="15" xfId="0" applyFont="1" applyFill="1" applyBorder="1" applyAlignment="1">
      <alignment horizontal="left" vertical="center" wrapText="1"/>
    </xf>
    <xf numFmtId="0" fontId="42" fillId="10" borderId="15" xfId="0" applyFont="1" applyFill="1" applyBorder="1" applyAlignment="1">
      <alignment horizontal="center" vertical="center"/>
    </xf>
    <xf numFmtId="0" fontId="46" fillId="10" borderId="15" xfId="0" applyFont="1" applyFill="1" applyBorder="1" applyAlignment="1">
      <alignment horizontal="left" vertical="center" wrapText="1"/>
    </xf>
    <xf numFmtId="0" fontId="42" fillId="9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4" fontId="8" fillId="0" borderId="5" xfId="0" applyNumberFormat="1" applyFont="1" applyBorder="1" applyAlignment="1">
      <alignment horizontal="righ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3" fontId="8" fillId="0" borderId="7" xfId="0" applyNumberFormat="1" applyFont="1" applyBorder="1" applyAlignment="1">
      <alignment horizontal="right" vertical="center" wrapText="1"/>
    </xf>
    <xf numFmtId="0" fontId="7" fillId="0" borderId="8" xfId="0" applyFont="1" applyBorder="1" applyAlignment="1">
      <alignment horizontal="left" vertical="center" wrapText="1"/>
    </xf>
    <xf numFmtId="4" fontId="8" fillId="0" borderId="9" xfId="0" applyNumberFormat="1" applyFont="1" applyBorder="1" applyAlignment="1">
      <alignment horizontal="right" vertical="center" wrapText="1"/>
    </xf>
    <xf numFmtId="0" fontId="7" fillId="0" borderId="10" xfId="0" applyFont="1" applyBorder="1" applyAlignment="1">
      <alignment horizontal="left" vertical="center" wrapText="1"/>
    </xf>
    <xf numFmtId="4" fontId="8" fillId="0" borderId="1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right" vertical="center" wrapText="1"/>
    </xf>
    <xf numFmtId="4" fontId="15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right" vertical="center"/>
    </xf>
    <xf numFmtId="0" fontId="2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2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wrapText="1"/>
    </xf>
    <xf numFmtId="165" fontId="8" fillId="2" borderId="1" xfId="0" applyNumberFormat="1" applyFont="1" applyFill="1" applyBorder="1" applyAlignment="1">
      <alignment horizontal="right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4" fontId="7" fillId="0" borderId="1" xfId="0" applyNumberFormat="1" applyFont="1" applyBorder="1" applyAlignment="1">
      <alignment horizontal="center"/>
    </xf>
    <xf numFmtId="165" fontId="7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 vertical="center" wrapText="1"/>
    </xf>
    <xf numFmtId="0" fontId="35" fillId="0" borderId="1" xfId="0" applyFont="1" applyBorder="1" applyAlignment="1">
      <alignment horizontal="right" wrapText="1"/>
    </xf>
    <xf numFmtId="4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wrapText="1"/>
    </xf>
    <xf numFmtId="165" fontId="8" fillId="0" borderId="1" xfId="0" applyNumberFormat="1" applyFont="1" applyBorder="1" applyAlignment="1">
      <alignment horizontal="right" vertical="center" wrapText="1"/>
    </xf>
    <xf numFmtId="0" fontId="10" fillId="6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left" vertical="center" wrapText="1"/>
    </xf>
    <xf numFmtId="165" fontId="37" fillId="0" borderId="1" xfId="0" applyNumberFormat="1" applyFont="1" applyBorder="1" applyAlignment="1">
      <alignment horizontal="right" vertical="center" wrapText="1"/>
    </xf>
    <xf numFmtId="4" fontId="37" fillId="0" borderId="1" xfId="0" applyNumberFormat="1" applyFont="1" applyBorder="1" applyAlignment="1">
      <alignment horizontal="right" vertical="center" wrapText="1"/>
    </xf>
    <xf numFmtId="165" fontId="14" fillId="0" borderId="1" xfId="0" applyNumberFormat="1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left" vertical="center" wrapText="1"/>
    </xf>
    <xf numFmtId="173" fontId="8" fillId="0" borderId="15" xfId="0" applyNumberFormat="1" applyFont="1" applyBorder="1" applyAlignment="1">
      <alignment horizontal="center" vertical="center" wrapText="1"/>
    </xf>
    <xf numFmtId="0" fontId="47" fillId="7" borderId="15" xfId="0" applyFont="1" applyFill="1" applyBorder="1" applyAlignment="1">
      <alignment horizontal="right" vertical="center"/>
    </xf>
    <xf numFmtId="165" fontId="47" fillId="7" borderId="17" xfId="0" applyNumberFormat="1" applyFont="1" applyFill="1" applyBorder="1" applyAlignment="1">
      <alignment horizontal="right" vertical="center"/>
    </xf>
    <xf numFmtId="165" fontId="47" fillId="7" borderId="18" xfId="0" applyNumberFormat="1" applyFont="1" applyFill="1" applyBorder="1" applyAlignment="1">
      <alignment horizontal="right" vertical="center"/>
    </xf>
    <xf numFmtId="165" fontId="47" fillId="7" borderId="19" xfId="0" applyNumberFormat="1" applyFont="1" applyFill="1" applyBorder="1" applyAlignment="1">
      <alignment horizontal="right" vertical="center"/>
    </xf>
    <xf numFmtId="0" fontId="7" fillId="7" borderId="17" xfId="0" applyFont="1" applyFill="1" applyBorder="1" applyAlignment="1">
      <alignment horizontal="right"/>
    </xf>
    <xf numFmtId="0" fontId="7" fillId="7" borderId="18" xfId="0" applyFont="1" applyFill="1" applyBorder="1" applyAlignment="1">
      <alignment horizontal="right"/>
    </xf>
    <xf numFmtId="0" fontId="7" fillId="7" borderId="19" xfId="0" applyFont="1" applyFill="1" applyBorder="1" applyAlignment="1">
      <alignment horizontal="right"/>
    </xf>
    <xf numFmtId="0" fontId="7" fillId="7" borderId="15" xfId="0" applyFont="1" applyFill="1" applyBorder="1" applyAlignment="1">
      <alignment horizontal="right" vertical="center"/>
    </xf>
    <xf numFmtId="0" fontId="48" fillId="7" borderId="1" xfId="0" applyFont="1" applyFill="1" applyBorder="1" applyAlignment="1">
      <alignment horizontal="center" vertical="center"/>
    </xf>
    <xf numFmtId="0" fontId="48" fillId="7" borderId="1" xfId="0" applyFont="1" applyFill="1" applyBorder="1" applyAlignment="1">
      <alignment horizontal="center" vertical="center" wrapText="1"/>
    </xf>
    <xf numFmtId="177" fontId="50" fillId="0" borderId="1" xfId="0" applyNumberFormat="1" applyFont="1" applyBorder="1" applyAlignment="1">
      <alignment horizontal="center" vertical="center"/>
    </xf>
    <xf numFmtId="177" fontId="36" fillId="7" borderId="1" xfId="0" applyNumberFormat="1" applyFont="1" applyFill="1" applyBorder="1" applyAlignment="1">
      <alignment horizontal="right" vertical="center"/>
    </xf>
    <xf numFmtId="177" fontId="36" fillId="7" borderId="1" xfId="0" applyNumberFormat="1" applyFont="1" applyFill="1" applyBorder="1" applyAlignment="1">
      <alignment horizontal="center" vertical="center"/>
    </xf>
    <xf numFmtId="177" fontId="36" fillId="0" borderId="1" xfId="0" applyNumberFormat="1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 wrapText="1"/>
    </xf>
    <xf numFmtId="177" fontId="48" fillId="7" borderId="1" xfId="0" applyNumberFormat="1" applyFont="1" applyFill="1" applyBorder="1" applyAlignment="1">
      <alignment horizontal="right" vertical="center"/>
    </xf>
    <xf numFmtId="177" fontId="51" fillId="7" borderId="1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808000"/>
      <rgbColor rgb="FF800080"/>
      <rgbColor rgb="FF008080"/>
      <rgbColor rgb="FFB2B2B2"/>
      <rgbColor rgb="FF808080"/>
      <rgbColor rgb="FF9999FF"/>
      <rgbColor rgb="FFFF3333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00A933"/>
      <rgbColor rgb="FF003300"/>
      <rgbColor rgb="FF333300"/>
      <rgbColor rgb="FFFF40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S1001"/>
  <sheetViews>
    <sheetView view="pageBreakPreview" topLeftCell="A13" zoomScale="160" zoomScaleNormal="140" zoomScaleSheetLayoutView="160" workbookViewId="0">
      <selection activeCell="M16" sqref="M16"/>
    </sheetView>
  </sheetViews>
  <sheetFormatPr defaultColWidth="14.44140625" defaultRowHeight="13.2"/>
  <cols>
    <col min="1" max="1" width="2.6640625" customWidth="1"/>
    <col min="2" max="8" width="8.88671875" customWidth="1"/>
    <col min="9" max="9" width="15.44140625" customWidth="1"/>
    <col min="10" max="10" width="6.5546875" customWidth="1"/>
    <col min="11" max="11" width="6.88671875" customWidth="1"/>
    <col min="12" max="12" width="1.6640625" style="3" customWidth="1"/>
    <col min="13" max="14" width="14.44140625" style="4"/>
    <col min="15" max="15" width="3.109375" style="4" customWidth="1"/>
    <col min="16" max="16" width="7.44140625" style="4" customWidth="1"/>
    <col min="17" max="17" width="14.44140625" style="4"/>
    <col min="18" max="19" width="14.44140625" style="3"/>
  </cols>
  <sheetData>
    <row r="2" spans="2:14" ht="24" customHeight="1">
      <c r="B2" s="157" t="s">
        <v>0</v>
      </c>
      <c r="C2" s="157"/>
      <c r="D2" s="157"/>
      <c r="E2" s="157"/>
      <c r="F2" s="157"/>
      <c r="G2" s="157"/>
      <c r="H2" s="157"/>
      <c r="I2" s="157"/>
      <c r="J2" s="157"/>
      <c r="K2" s="157"/>
    </row>
    <row r="3" spans="2:14" ht="62.25" customHeight="1">
      <c r="B3" s="158" t="s">
        <v>1</v>
      </c>
      <c r="C3" s="158"/>
      <c r="D3" s="158"/>
      <c r="E3" s="158"/>
      <c r="F3" s="158"/>
      <c r="G3" s="158"/>
      <c r="H3" s="158"/>
      <c r="I3" s="158"/>
      <c r="J3" s="158"/>
      <c r="K3" s="158"/>
    </row>
    <row r="4" spans="2:14" ht="12.75" customHeight="1">
      <c r="B4" s="159" t="s">
        <v>2</v>
      </c>
      <c r="C4" s="159"/>
      <c r="D4" s="159"/>
      <c r="E4" s="159"/>
      <c r="F4" s="159"/>
      <c r="G4" s="159"/>
      <c r="H4" s="159"/>
      <c r="I4" s="160" t="s">
        <v>3</v>
      </c>
      <c r="J4" s="160"/>
      <c r="K4" s="160"/>
    </row>
    <row r="5" spans="2:14" ht="12.75" customHeight="1">
      <c r="B5" s="159" t="s">
        <v>4</v>
      </c>
      <c r="C5" s="159"/>
      <c r="D5" s="159"/>
      <c r="E5" s="159"/>
      <c r="F5" s="159"/>
      <c r="G5" s="159"/>
      <c r="H5" s="159"/>
      <c r="I5" s="160" t="s">
        <v>3</v>
      </c>
      <c r="J5" s="160"/>
      <c r="K5" s="160"/>
    </row>
    <row r="6" spans="2:14" ht="12.75" customHeight="1">
      <c r="B6" s="159" t="s">
        <v>5</v>
      </c>
      <c r="C6" s="159"/>
      <c r="D6" s="159"/>
      <c r="E6" s="159"/>
      <c r="F6" s="159"/>
      <c r="G6" s="159"/>
      <c r="H6" s="159"/>
      <c r="I6" s="160" t="s">
        <v>3</v>
      </c>
      <c r="J6" s="160"/>
      <c r="K6" s="160"/>
    </row>
    <row r="7" spans="2:14" ht="15" customHeight="1">
      <c r="B7" s="161" t="s">
        <v>6</v>
      </c>
      <c r="C7" s="161"/>
      <c r="D7" s="161"/>
      <c r="E7" s="161"/>
      <c r="F7" s="161"/>
      <c r="G7" s="161"/>
      <c r="H7" s="161"/>
      <c r="I7" s="161"/>
      <c r="J7" s="161"/>
      <c r="K7" s="161"/>
    </row>
    <row r="8" spans="2:14" ht="12.75" customHeight="1">
      <c r="B8" s="5" t="s">
        <v>7</v>
      </c>
      <c r="C8" s="159" t="s">
        <v>8</v>
      </c>
      <c r="D8" s="159"/>
      <c r="E8" s="159"/>
      <c r="F8" s="159"/>
      <c r="G8" s="159"/>
      <c r="H8" s="159"/>
      <c r="I8" s="160" t="s">
        <v>3</v>
      </c>
      <c r="J8" s="160"/>
      <c r="K8" s="160"/>
    </row>
    <row r="9" spans="2:14" ht="12.75" customHeight="1">
      <c r="B9" s="5" t="s">
        <v>9</v>
      </c>
      <c r="C9" s="159" t="s">
        <v>10</v>
      </c>
      <c r="D9" s="159"/>
      <c r="E9" s="159"/>
      <c r="F9" s="159"/>
      <c r="G9" s="159"/>
      <c r="H9" s="159"/>
      <c r="I9" s="162" t="s">
        <v>11</v>
      </c>
      <c r="J9" s="162"/>
      <c r="K9" s="162"/>
    </row>
    <row r="10" spans="2:14" ht="75" customHeight="1">
      <c r="B10" s="5" t="s">
        <v>12</v>
      </c>
      <c r="C10" s="159" t="s">
        <v>13</v>
      </c>
      <c r="D10" s="159"/>
      <c r="E10" s="159"/>
      <c r="F10" s="159"/>
      <c r="G10" s="159"/>
      <c r="H10" s="159"/>
      <c r="I10" s="163" t="s">
        <v>14</v>
      </c>
      <c r="J10" s="163"/>
      <c r="K10" s="163"/>
    </row>
    <row r="11" spans="2:14" ht="18" customHeight="1">
      <c r="B11" s="5" t="s">
        <v>15</v>
      </c>
      <c r="C11" s="159" t="s">
        <v>16</v>
      </c>
      <c r="D11" s="159"/>
      <c r="E11" s="159"/>
      <c r="F11" s="159"/>
      <c r="G11" s="159"/>
      <c r="H11" s="159"/>
      <c r="I11" s="160">
        <v>60</v>
      </c>
      <c r="J11" s="160"/>
      <c r="K11" s="160"/>
    </row>
    <row r="12" spans="2:14" ht="12.75" customHeight="1">
      <c r="B12" s="164"/>
      <c r="C12" s="164"/>
      <c r="D12" s="164"/>
      <c r="E12" s="164"/>
      <c r="F12" s="164"/>
      <c r="G12" s="164"/>
      <c r="H12" s="164"/>
      <c r="I12" s="164"/>
      <c r="J12" s="164"/>
      <c r="K12" s="164"/>
    </row>
    <row r="13" spans="2:14" ht="30" customHeight="1">
      <c r="B13" s="165" t="s">
        <v>17</v>
      </c>
      <c r="C13" s="165"/>
      <c r="D13" s="165"/>
      <c r="E13" s="165"/>
      <c r="F13" s="165"/>
      <c r="G13" s="165"/>
      <c r="H13" s="165"/>
      <c r="I13" s="165"/>
      <c r="J13" s="165"/>
      <c r="K13" s="165"/>
    </row>
    <row r="14" spans="2:14" ht="30" customHeight="1">
      <c r="B14" s="165" t="s">
        <v>18</v>
      </c>
      <c r="C14" s="1" t="s">
        <v>19</v>
      </c>
      <c r="D14" s="165" t="s">
        <v>20</v>
      </c>
      <c r="E14" s="165"/>
      <c r="F14" s="165"/>
      <c r="G14" s="165"/>
      <c r="H14" s="165"/>
      <c r="I14" s="165"/>
      <c r="J14" s="166">
        <f>ROUND('Servente 20%'!J253,2)</f>
        <v>24444.39</v>
      </c>
      <c r="K14" s="166"/>
      <c r="M14" s="6"/>
      <c r="N14" s="6"/>
    </row>
    <row r="15" spans="2:14" ht="30" customHeight="1">
      <c r="B15" s="165"/>
      <c r="C15" s="1" t="s">
        <v>21</v>
      </c>
      <c r="D15" s="165" t="s">
        <v>22</v>
      </c>
      <c r="E15" s="165"/>
      <c r="F15" s="165"/>
      <c r="G15" s="165"/>
      <c r="H15" s="165"/>
      <c r="I15" s="165"/>
      <c r="J15" s="166">
        <f>ROUND('Servente 40%'!J249,2)</f>
        <v>12889.64</v>
      </c>
      <c r="K15" s="166"/>
      <c r="M15" s="6"/>
      <c r="N15" s="6"/>
    </row>
    <row r="16" spans="2:14" ht="12.75" customHeight="1">
      <c r="B16" s="167" t="s">
        <v>23</v>
      </c>
      <c r="C16" s="167"/>
      <c r="D16" s="167"/>
      <c r="E16" s="167"/>
      <c r="F16" s="167"/>
      <c r="G16" s="167"/>
      <c r="H16" s="167"/>
      <c r="I16" s="167"/>
      <c r="J16" s="168">
        <f>J14+J15</f>
        <v>37334.03</v>
      </c>
      <c r="K16" s="168"/>
      <c r="M16" s="7"/>
      <c r="N16" s="7"/>
    </row>
    <row r="17" spans="2:16" ht="12.75" customHeight="1">
      <c r="B17" s="169"/>
      <c r="C17" s="169"/>
      <c r="D17" s="169"/>
      <c r="E17" s="169"/>
      <c r="F17" s="169"/>
      <c r="G17" s="169"/>
      <c r="H17" s="169"/>
      <c r="I17" s="169"/>
      <c r="J17" s="169"/>
      <c r="K17" s="169"/>
    </row>
    <row r="18" spans="2:16" ht="12.75" customHeight="1">
      <c r="B18" s="170" t="s">
        <v>24</v>
      </c>
      <c r="C18" s="170"/>
      <c r="D18" s="170"/>
      <c r="E18" s="170"/>
      <c r="F18" s="170"/>
      <c r="G18" s="170"/>
      <c r="H18" s="170"/>
      <c r="I18" s="170"/>
      <c r="J18" s="171">
        <v>60</v>
      </c>
      <c r="K18" s="171"/>
      <c r="P18" s="8"/>
    </row>
    <row r="19" spans="2:16" ht="12.75" customHeight="1"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P19" s="8"/>
    </row>
    <row r="20" spans="2:16" ht="12.75" customHeight="1">
      <c r="B20" s="172" t="s">
        <v>25</v>
      </c>
      <c r="C20" s="172"/>
      <c r="D20" s="172"/>
      <c r="E20" s="172"/>
      <c r="F20" s="172"/>
      <c r="G20" s="172"/>
      <c r="H20" s="172"/>
      <c r="I20" s="172"/>
      <c r="J20" s="173">
        <f>J16*J18</f>
        <v>2240041.7999999998</v>
      </c>
      <c r="K20" s="173"/>
      <c r="P20" s="8"/>
    </row>
    <row r="21" spans="2:16" ht="13.5" customHeight="1">
      <c r="B21" s="164"/>
      <c r="C21" s="164"/>
      <c r="D21" s="164"/>
      <c r="E21" s="164"/>
      <c r="F21" s="164"/>
      <c r="G21" s="164"/>
      <c r="H21" s="164"/>
      <c r="I21" s="164"/>
      <c r="J21" s="164"/>
      <c r="K21" s="164"/>
    </row>
    <row r="22" spans="2:16" ht="16.5" customHeight="1">
      <c r="B22" s="174" t="s">
        <v>26</v>
      </c>
      <c r="C22" s="174"/>
      <c r="D22" s="174"/>
      <c r="E22" s="174"/>
      <c r="F22" s="174"/>
      <c r="G22" s="174"/>
      <c r="H22" s="174"/>
      <c r="I22" s="174"/>
      <c r="J22" s="175">
        <f>J16</f>
        <v>37334.03</v>
      </c>
      <c r="K22" s="175"/>
      <c r="M22" s="7"/>
    </row>
    <row r="23" spans="2:16" ht="13.5" customHeight="1">
      <c r="B23" s="172" t="s">
        <v>27</v>
      </c>
      <c r="C23" s="172"/>
      <c r="D23" s="172"/>
      <c r="E23" s="172"/>
      <c r="F23" s="172"/>
      <c r="G23" s="172"/>
      <c r="H23" s="172"/>
      <c r="I23" s="172"/>
      <c r="J23" s="173">
        <f>J20</f>
        <v>2240041.7999999998</v>
      </c>
      <c r="K23" s="173"/>
      <c r="L23" s="9"/>
      <c r="M23" s="7"/>
      <c r="N23" s="10"/>
    </row>
    <row r="24" spans="2:16" ht="12.75" customHeight="1"/>
    <row r="25" spans="2:16" ht="12.75" customHeight="1"/>
    <row r="26" spans="2:16" ht="12.75" customHeight="1"/>
    <row r="27" spans="2:16" ht="12.75" customHeight="1"/>
    <row r="28" spans="2:16" ht="12.75" customHeight="1"/>
    <row r="29" spans="2:16" ht="12.75" customHeight="1"/>
    <row r="30" spans="2:16" ht="12.75" customHeight="1"/>
    <row r="31" spans="2:16" ht="12.75" customHeight="1"/>
    <row r="32" spans="2:16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7">
    <mergeCell ref="B23:I23"/>
    <mergeCell ref="J23:K23"/>
    <mergeCell ref="B19:K19"/>
    <mergeCell ref="B20:I20"/>
    <mergeCell ref="J20:K20"/>
    <mergeCell ref="B21:K21"/>
    <mergeCell ref="B22:I22"/>
    <mergeCell ref="J22:K22"/>
    <mergeCell ref="B16:I16"/>
    <mergeCell ref="J16:K16"/>
    <mergeCell ref="B17:K17"/>
    <mergeCell ref="B18:I18"/>
    <mergeCell ref="J18:K18"/>
    <mergeCell ref="B12:K12"/>
    <mergeCell ref="B13:K13"/>
    <mergeCell ref="B14:B15"/>
    <mergeCell ref="D14:I14"/>
    <mergeCell ref="J14:K14"/>
    <mergeCell ref="D15:I15"/>
    <mergeCell ref="J15:K15"/>
    <mergeCell ref="C9:H9"/>
    <mergeCell ref="I9:K9"/>
    <mergeCell ref="C10:H10"/>
    <mergeCell ref="I10:K10"/>
    <mergeCell ref="C11:H11"/>
    <mergeCell ref="I11:K11"/>
    <mergeCell ref="B6:H6"/>
    <mergeCell ref="I6:K6"/>
    <mergeCell ref="B7:K7"/>
    <mergeCell ref="C8:H8"/>
    <mergeCell ref="I8:K8"/>
    <mergeCell ref="B2:K2"/>
    <mergeCell ref="B3:K3"/>
    <mergeCell ref="B4:H4"/>
    <mergeCell ref="I4:K4"/>
    <mergeCell ref="B5:H5"/>
    <mergeCell ref="I5:K5"/>
  </mergeCells>
  <printOptions horizontalCentered="1"/>
  <pageMargins left="0" right="0" top="0" bottom="0" header="0.511811023622047" footer="0.511811023622047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A261"/>
  <sheetViews>
    <sheetView view="pageBreakPreview" topLeftCell="A132" zoomScale="130" zoomScaleNormal="145" zoomScaleSheetLayoutView="130" workbookViewId="0">
      <selection activeCell="J148" sqref="J148"/>
    </sheetView>
  </sheetViews>
  <sheetFormatPr defaultColWidth="14.44140625" defaultRowHeight="13.2"/>
  <cols>
    <col min="1" max="1" width="1.6640625" customWidth="1"/>
    <col min="2" max="2" width="16.33203125" customWidth="1"/>
    <col min="3" max="5" width="10.88671875" customWidth="1"/>
    <col min="6" max="6" width="13" customWidth="1"/>
    <col min="7" max="8" width="10.88671875" customWidth="1"/>
    <col min="9" max="10" width="11.109375" bestFit="1" customWidth="1"/>
    <col min="11" max="11" width="12.88671875" customWidth="1"/>
    <col min="12" max="12" width="1.44140625" customWidth="1"/>
    <col min="13" max="13" width="10.88671875" customWidth="1"/>
    <col min="14" max="27" width="8.6640625" customWidth="1"/>
  </cols>
  <sheetData>
    <row r="1" spans="2:12" ht="39.6">
      <c r="B1" s="176" t="s">
        <v>0</v>
      </c>
      <c r="C1" s="176"/>
      <c r="D1" s="176"/>
      <c r="E1" s="176"/>
      <c r="F1" s="176"/>
      <c r="G1" s="176"/>
      <c r="H1" s="176"/>
      <c r="I1" s="176"/>
      <c r="J1" s="176"/>
      <c r="K1" s="176"/>
      <c r="L1" s="11" t="s">
        <v>28</v>
      </c>
    </row>
    <row r="2" spans="2:12" ht="52.8">
      <c r="B2" s="158" t="s">
        <v>29</v>
      </c>
      <c r="C2" s="158"/>
      <c r="D2" s="158"/>
      <c r="E2" s="158"/>
      <c r="F2" s="158"/>
      <c r="G2" s="158"/>
      <c r="H2" s="158"/>
      <c r="I2" s="158"/>
      <c r="J2" s="158"/>
      <c r="K2" s="158"/>
      <c r="L2" s="11" t="s">
        <v>30</v>
      </c>
    </row>
    <row r="3" spans="2:12">
      <c r="B3" s="159" t="s">
        <v>2</v>
      </c>
      <c r="C3" s="159"/>
      <c r="D3" s="159"/>
      <c r="E3" s="159"/>
      <c r="F3" s="159"/>
      <c r="G3" s="159"/>
      <c r="H3" s="159"/>
      <c r="I3" s="160" t="s">
        <v>31</v>
      </c>
      <c r="J3" s="160"/>
      <c r="K3" s="160"/>
    </row>
    <row r="4" spans="2:12">
      <c r="B4" s="159" t="s">
        <v>4</v>
      </c>
      <c r="C4" s="159"/>
      <c r="D4" s="159"/>
      <c r="E4" s="159"/>
      <c r="F4" s="159"/>
      <c r="G4" s="159"/>
      <c r="H4" s="159"/>
      <c r="I4" s="160" t="s">
        <v>31</v>
      </c>
      <c r="J4" s="160"/>
      <c r="K4" s="160"/>
    </row>
    <row r="5" spans="2:12">
      <c r="B5" s="12" t="s">
        <v>32</v>
      </c>
      <c r="C5" s="13"/>
      <c r="D5" s="13"/>
      <c r="E5" s="13"/>
      <c r="F5" s="13"/>
      <c r="G5" s="13"/>
      <c r="H5" s="13"/>
      <c r="I5" s="160" t="s">
        <v>31</v>
      </c>
      <c r="J5" s="160"/>
      <c r="K5" s="160"/>
    </row>
    <row r="6" spans="2:12" ht="13.8">
      <c r="B6" s="161" t="s">
        <v>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2:12">
      <c r="B7" s="5" t="s">
        <v>7</v>
      </c>
      <c r="C7" s="159" t="s">
        <v>8</v>
      </c>
      <c r="D7" s="159"/>
      <c r="E7" s="159"/>
      <c r="F7" s="159"/>
      <c r="G7" s="159"/>
      <c r="H7" s="159"/>
      <c r="I7" s="160" t="s">
        <v>31</v>
      </c>
      <c r="J7" s="160"/>
      <c r="K7" s="160"/>
    </row>
    <row r="8" spans="2:12">
      <c r="B8" s="5" t="s">
        <v>9</v>
      </c>
      <c r="C8" s="159" t="s">
        <v>10</v>
      </c>
      <c r="D8" s="159"/>
      <c r="E8" s="159"/>
      <c r="F8" s="159"/>
      <c r="G8" s="159"/>
      <c r="H8" s="159"/>
      <c r="I8" s="162" t="s">
        <v>11</v>
      </c>
      <c r="J8" s="162"/>
      <c r="K8" s="162"/>
    </row>
    <row r="9" spans="2:12">
      <c r="B9" s="5" t="s">
        <v>12</v>
      </c>
      <c r="C9" s="159" t="s">
        <v>13</v>
      </c>
      <c r="D9" s="159"/>
      <c r="E9" s="159"/>
      <c r="F9" s="159"/>
      <c r="G9" s="159"/>
      <c r="H9" s="159"/>
      <c r="I9" s="163" t="s">
        <v>14</v>
      </c>
      <c r="J9" s="163"/>
      <c r="K9" s="163"/>
    </row>
    <row r="10" spans="2:12">
      <c r="B10" s="5" t="s">
        <v>15</v>
      </c>
      <c r="C10" s="159" t="s">
        <v>16</v>
      </c>
      <c r="D10" s="159"/>
      <c r="E10" s="159"/>
      <c r="F10" s="159"/>
      <c r="G10" s="159"/>
      <c r="H10" s="159"/>
      <c r="I10" s="177">
        <v>60</v>
      </c>
      <c r="J10" s="177"/>
      <c r="K10" s="177"/>
    </row>
    <row r="11" spans="2:12" ht="13.8">
      <c r="B11" s="178" t="s">
        <v>33</v>
      </c>
      <c r="C11" s="178"/>
      <c r="D11" s="178"/>
      <c r="E11" s="178"/>
      <c r="F11" s="178"/>
      <c r="G11" s="178"/>
      <c r="H11" s="178"/>
      <c r="I11" s="178"/>
      <c r="J11" s="178"/>
      <c r="K11" s="178"/>
    </row>
    <row r="12" spans="2:12">
      <c r="B12" s="179" t="s">
        <v>34</v>
      </c>
      <c r="C12" s="179"/>
      <c r="D12" s="179"/>
      <c r="E12" s="179"/>
      <c r="F12" s="179"/>
      <c r="G12" s="179"/>
      <c r="H12" s="179" t="s">
        <v>35</v>
      </c>
      <c r="I12" s="179"/>
      <c r="J12" s="179" t="s">
        <v>36</v>
      </c>
      <c r="K12" s="179"/>
    </row>
    <row r="13" spans="2:12">
      <c r="B13" s="180" t="s">
        <v>37</v>
      </c>
      <c r="C13" s="180"/>
      <c r="D13" s="180"/>
      <c r="E13" s="180"/>
      <c r="F13" s="180"/>
      <c r="G13" s="180"/>
      <c r="H13" s="181" t="s">
        <v>38</v>
      </c>
      <c r="I13" s="181"/>
      <c r="J13" s="182">
        <v>0</v>
      </c>
      <c r="K13" s="182"/>
    </row>
    <row r="14" spans="2:12">
      <c r="B14" s="180" t="s">
        <v>39</v>
      </c>
      <c r="C14" s="180"/>
      <c r="D14" s="180"/>
      <c r="E14" s="180"/>
      <c r="F14" s="180"/>
      <c r="G14" s="180"/>
      <c r="H14" s="181" t="s">
        <v>38</v>
      </c>
      <c r="I14" s="181"/>
      <c r="J14" s="182">
        <v>3333.75</v>
      </c>
      <c r="K14" s="182"/>
    </row>
    <row r="15" spans="2:12">
      <c r="B15" s="180" t="s">
        <v>40</v>
      </c>
      <c r="C15" s="180"/>
      <c r="D15" s="180"/>
      <c r="E15" s="180"/>
      <c r="F15" s="180"/>
      <c r="G15" s="180"/>
      <c r="H15" s="181" t="s">
        <v>38</v>
      </c>
      <c r="I15" s="181"/>
      <c r="J15" s="182">
        <v>0</v>
      </c>
      <c r="K15" s="182"/>
    </row>
    <row r="16" spans="2:12">
      <c r="B16" s="180" t="s">
        <v>41</v>
      </c>
      <c r="C16" s="180"/>
      <c r="D16" s="180"/>
      <c r="E16" s="180"/>
      <c r="F16" s="180"/>
      <c r="G16" s="180"/>
      <c r="H16" s="181" t="s">
        <v>38</v>
      </c>
      <c r="I16" s="181"/>
      <c r="J16" s="182">
        <v>17.149999999999999</v>
      </c>
      <c r="K16" s="182"/>
    </row>
    <row r="17" spans="2:11">
      <c r="B17" s="180" t="s">
        <v>42</v>
      </c>
      <c r="C17" s="180"/>
      <c r="D17" s="180"/>
      <c r="E17" s="180"/>
      <c r="F17" s="180"/>
      <c r="G17" s="180"/>
      <c r="H17" s="181" t="s">
        <v>38</v>
      </c>
      <c r="I17" s="181"/>
      <c r="J17" s="182">
        <v>12.14</v>
      </c>
      <c r="K17" s="182"/>
    </row>
    <row r="18" spans="2:11">
      <c r="B18" s="180" t="s">
        <v>43</v>
      </c>
      <c r="C18" s="180"/>
      <c r="D18" s="180"/>
      <c r="E18" s="180"/>
      <c r="F18" s="180"/>
      <c r="G18" s="180"/>
      <c r="H18" s="181" t="s">
        <v>38</v>
      </c>
      <c r="I18" s="181"/>
      <c r="J18" s="182">
        <v>1322.67</v>
      </c>
      <c r="K18" s="182"/>
    </row>
    <row r="19" spans="2:11">
      <c r="B19" s="180" t="s">
        <v>44</v>
      </c>
      <c r="C19" s="180"/>
      <c r="D19" s="180"/>
      <c r="E19" s="180"/>
      <c r="F19" s="180"/>
      <c r="G19" s="180"/>
      <c r="H19" s="183" t="s">
        <v>38</v>
      </c>
      <c r="I19" s="183"/>
      <c r="J19" s="182">
        <v>0</v>
      </c>
      <c r="K19" s="182"/>
    </row>
    <row r="20" spans="2:11">
      <c r="B20" s="184" t="s">
        <v>45</v>
      </c>
      <c r="C20" s="184"/>
      <c r="D20" s="184"/>
      <c r="E20" s="184"/>
      <c r="F20" s="184"/>
      <c r="G20" s="184"/>
      <c r="H20" s="184"/>
      <c r="I20" s="184"/>
      <c r="J20" s="185">
        <f>ROUND(J13+J14+J15+J16+J17+J18+J19,2)</f>
        <v>4685.71</v>
      </c>
      <c r="K20" s="185"/>
    </row>
    <row r="21" spans="2:11">
      <c r="B21" s="186"/>
      <c r="C21" s="186"/>
      <c r="D21" s="186"/>
      <c r="E21" s="186"/>
      <c r="F21" s="186"/>
      <c r="G21" s="186"/>
      <c r="H21" s="186"/>
      <c r="I21" s="186"/>
      <c r="J21" s="186"/>
      <c r="K21" s="186"/>
    </row>
    <row r="22" spans="2:11">
      <c r="B22" s="180" t="s">
        <v>46</v>
      </c>
      <c r="C22" s="180"/>
      <c r="D22" s="180"/>
      <c r="E22" s="180"/>
      <c r="F22" s="180"/>
      <c r="G22" s="180"/>
      <c r="H22" s="180"/>
      <c r="I22" s="181" t="s">
        <v>38</v>
      </c>
      <c r="J22" s="181"/>
      <c r="K22" s="17">
        <v>208.03192200000001</v>
      </c>
    </row>
    <row r="23" spans="2:11">
      <c r="B23" s="180" t="s">
        <v>47</v>
      </c>
      <c r="C23" s="180"/>
      <c r="D23" s="180"/>
      <c r="E23" s="180"/>
      <c r="F23" s="180"/>
      <c r="G23" s="180"/>
      <c r="H23" s="180"/>
      <c r="I23" s="187" t="s">
        <v>38</v>
      </c>
      <c r="J23" s="187"/>
      <c r="K23" s="17">
        <v>22.813012000000001</v>
      </c>
    </row>
    <row r="24" spans="2:11">
      <c r="B24" s="180" t="s">
        <v>48</v>
      </c>
      <c r="C24" s="180"/>
      <c r="D24" s="180"/>
      <c r="E24" s="180"/>
      <c r="F24" s="180"/>
      <c r="G24" s="180"/>
      <c r="H24" s="180"/>
      <c r="I24" s="181" t="s">
        <v>38</v>
      </c>
      <c r="J24" s="181"/>
      <c r="K24" s="17">
        <v>0</v>
      </c>
    </row>
    <row r="25" spans="2:11">
      <c r="B25" s="180" t="s">
        <v>49</v>
      </c>
      <c r="C25" s="180"/>
      <c r="D25" s="180"/>
      <c r="E25" s="180"/>
      <c r="F25" s="180"/>
      <c r="G25" s="180"/>
      <c r="H25" s="180"/>
      <c r="I25" s="187" t="s">
        <v>38</v>
      </c>
      <c r="J25" s="187"/>
      <c r="K25" s="17">
        <v>0</v>
      </c>
    </row>
    <row r="26" spans="2:11">
      <c r="B26" s="180" t="s">
        <v>50</v>
      </c>
      <c r="C26" s="180"/>
      <c r="D26" s="180"/>
      <c r="E26" s="180"/>
      <c r="F26" s="180"/>
      <c r="G26" s="180"/>
      <c r="H26" s="180"/>
      <c r="I26" s="187" t="s">
        <v>38</v>
      </c>
      <c r="J26" s="187"/>
      <c r="K26" s="17">
        <v>0</v>
      </c>
    </row>
    <row r="27" spans="2:11">
      <c r="B27" s="180" t="s">
        <v>51</v>
      </c>
      <c r="C27" s="180"/>
      <c r="D27" s="180"/>
      <c r="E27" s="180"/>
      <c r="F27" s="180"/>
      <c r="G27" s="180"/>
      <c r="H27" s="180"/>
      <c r="I27" s="181" t="s">
        <v>38</v>
      </c>
      <c r="J27" s="181"/>
      <c r="K27" s="17">
        <v>0</v>
      </c>
    </row>
    <row r="28" spans="2:11">
      <c r="B28" s="184" t="s">
        <v>52</v>
      </c>
      <c r="C28" s="184"/>
      <c r="D28" s="184"/>
      <c r="E28" s="184"/>
      <c r="F28" s="184"/>
      <c r="G28" s="184"/>
      <c r="H28" s="184"/>
      <c r="I28" s="184"/>
      <c r="J28" s="184"/>
      <c r="K28" s="16">
        <f>ROUND(K22+K23+K24+K25+K26+K27,2)</f>
        <v>230.84</v>
      </c>
    </row>
    <row r="29" spans="2:11">
      <c r="B29" s="186"/>
      <c r="C29" s="186"/>
      <c r="D29" s="186"/>
      <c r="E29" s="186"/>
      <c r="F29" s="186"/>
      <c r="G29" s="186"/>
      <c r="H29" s="186"/>
      <c r="I29" s="186"/>
      <c r="J29" s="186"/>
      <c r="K29" s="186"/>
    </row>
    <row r="30" spans="2:11">
      <c r="B30" s="180" t="s">
        <v>53</v>
      </c>
      <c r="C30" s="180"/>
      <c r="D30" s="180"/>
      <c r="E30" s="180"/>
      <c r="F30" s="180"/>
      <c r="G30" s="180"/>
      <c r="H30" s="180"/>
      <c r="I30" s="181" t="s">
        <v>38</v>
      </c>
      <c r="J30" s="181"/>
      <c r="K30" s="17">
        <v>0</v>
      </c>
    </row>
    <row r="31" spans="2:11">
      <c r="B31" s="180" t="s">
        <v>54</v>
      </c>
      <c r="C31" s="180"/>
      <c r="D31" s="180"/>
      <c r="E31" s="180"/>
      <c r="F31" s="180"/>
      <c r="G31" s="180"/>
      <c r="H31" s="180"/>
      <c r="I31" s="181" t="s">
        <v>38</v>
      </c>
      <c r="J31" s="181"/>
      <c r="K31" s="17">
        <v>0</v>
      </c>
    </row>
    <row r="32" spans="2:11">
      <c r="B32" s="180" t="s">
        <v>55</v>
      </c>
      <c r="C32" s="180"/>
      <c r="D32" s="180"/>
      <c r="E32" s="180"/>
      <c r="F32" s="180"/>
      <c r="G32" s="180"/>
      <c r="H32" s="180"/>
      <c r="I32" s="181" t="s">
        <v>38</v>
      </c>
      <c r="J32" s="181"/>
      <c r="K32" s="17">
        <v>1783.74</v>
      </c>
    </row>
    <row r="33" spans="2:11">
      <c r="B33" s="188" t="s">
        <v>56</v>
      </c>
      <c r="C33" s="188"/>
      <c r="D33" s="188"/>
      <c r="E33" s="188"/>
      <c r="F33" s="188"/>
      <c r="G33" s="188"/>
      <c r="H33" s="188"/>
      <c r="I33" s="188"/>
      <c r="J33" s="188"/>
      <c r="K33" s="16">
        <f>ROUND(K30+K31+K32,2)</f>
        <v>1783.74</v>
      </c>
    </row>
    <row r="34" spans="2:11">
      <c r="B34" s="186"/>
      <c r="C34" s="186"/>
      <c r="D34" s="186"/>
      <c r="E34" s="186"/>
      <c r="F34" s="186"/>
      <c r="G34" s="186"/>
      <c r="H34" s="186"/>
      <c r="I34" s="186"/>
      <c r="J34" s="186"/>
      <c r="K34" s="186"/>
    </row>
    <row r="35" spans="2:11">
      <c r="B35" s="189" t="s">
        <v>57</v>
      </c>
      <c r="C35" s="189"/>
      <c r="D35" s="189"/>
      <c r="E35" s="189"/>
      <c r="F35" s="189"/>
      <c r="G35" s="189"/>
      <c r="H35" s="189"/>
      <c r="I35" s="181" t="s">
        <v>38</v>
      </c>
      <c r="J35" s="181"/>
      <c r="K35" s="17">
        <v>184.05</v>
      </c>
    </row>
    <row r="36" spans="2:11">
      <c r="B36" s="184" t="s">
        <v>58</v>
      </c>
      <c r="C36" s="184"/>
      <c r="D36" s="184"/>
      <c r="E36" s="184"/>
      <c r="F36" s="184"/>
      <c r="G36" s="184"/>
      <c r="H36" s="184"/>
      <c r="I36" s="184"/>
      <c r="J36" s="184"/>
      <c r="K36" s="16">
        <f>K35</f>
        <v>184.05</v>
      </c>
    </row>
    <row r="37" spans="2:11">
      <c r="B37" s="186"/>
      <c r="C37" s="186"/>
      <c r="D37" s="186"/>
      <c r="E37" s="186"/>
      <c r="F37" s="186"/>
      <c r="G37" s="186"/>
      <c r="H37" s="186"/>
      <c r="I37" s="186"/>
      <c r="J37" s="186"/>
      <c r="K37" s="186"/>
    </row>
    <row r="38" spans="2:11">
      <c r="B38" s="189" t="s">
        <v>59</v>
      </c>
      <c r="C38" s="189"/>
      <c r="D38" s="189"/>
      <c r="E38" s="189"/>
      <c r="F38" s="189"/>
      <c r="G38" s="189"/>
      <c r="H38" s="189"/>
      <c r="I38" s="187" t="s">
        <v>38</v>
      </c>
      <c r="J38" s="187"/>
      <c r="K38" s="18">
        <v>0</v>
      </c>
    </row>
    <row r="39" spans="2:11">
      <c r="B39" s="190" t="s">
        <v>60</v>
      </c>
      <c r="C39" s="190"/>
      <c r="D39" s="190"/>
      <c r="E39" s="190"/>
      <c r="F39" s="190"/>
      <c r="G39" s="190"/>
      <c r="H39" s="190"/>
      <c r="I39" s="190"/>
      <c r="J39" s="190"/>
      <c r="K39" s="16">
        <v>0</v>
      </c>
    </row>
    <row r="40" spans="2:11">
      <c r="B40" s="186"/>
      <c r="C40" s="186"/>
      <c r="D40" s="186"/>
      <c r="E40" s="186"/>
      <c r="F40" s="186"/>
      <c r="G40" s="186"/>
      <c r="H40" s="186"/>
      <c r="I40" s="186"/>
      <c r="J40" s="186"/>
      <c r="K40" s="186"/>
    </row>
    <row r="41" spans="2:11">
      <c r="B41" s="189" t="s">
        <v>61</v>
      </c>
      <c r="C41" s="189"/>
      <c r="D41" s="189"/>
      <c r="E41" s="189"/>
      <c r="F41" s="189"/>
      <c r="G41" s="189"/>
      <c r="H41" s="189"/>
      <c r="I41" s="187" t="s">
        <v>38</v>
      </c>
      <c r="J41" s="187"/>
      <c r="K41" s="18">
        <v>0</v>
      </c>
    </row>
    <row r="42" spans="2:11">
      <c r="B42" s="188" t="s">
        <v>62</v>
      </c>
      <c r="C42" s="188"/>
      <c r="D42" s="188"/>
      <c r="E42" s="188"/>
      <c r="F42" s="188"/>
      <c r="G42" s="188"/>
      <c r="H42" s="188"/>
      <c r="I42" s="188"/>
      <c r="J42" s="188"/>
      <c r="K42" s="16">
        <v>0</v>
      </c>
    </row>
    <row r="43" spans="2:11">
      <c r="B43" s="186"/>
      <c r="C43" s="186"/>
      <c r="D43" s="186"/>
      <c r="E43" s="186"/>
      <c r="F43" s="186"/>
      <c r="G43" s="186"/>
      <c r="H43" s="186"/>
      <c r="I43" s="186"/>
      <c r="J43" s="186"/>
      <c r="K43" s="186"/>
    </row>
    <row r="44" spans="2:11">
      <c r="B44" s="191" t="s">
        <v>63</v>
      </c>
      <c r="C44" s="191"/>
      <c r="D44" s="191"/>
      <c r="E44" s="191"/>
      <c r="F44" s="191"/>
      <c r="G44" s="191"/>
      <c r="H44" s="191"/>
      <c r="I44" s="191"/>
      <c r="J44" s="191"/>
      <c r="K44" s="20">
        <f>ROUND(J20+K28+K33+K36+K39,2)</f>
        <v>6884.34</v>
      </c>
    </row>
    <row r="45" spans="2:11">
      <c r="B45" s="186"/>
      <c r="C45" s="186"/>
      <c r="D45" s="186"/>
      <c r="E45" s="186"/>
      <c r="F45" s="186"/>
      <c r="G45" s="186"/>
      <c r="H45" s="186"/>
      <c r="I45" s="186"/>
      <c r="J45" s="186"/>
      <c r="K45" s="186"/>
    </row>
    <row r="46" spans="2:11" ht="19.2">
      <c r="B46" s="192" t="s">
        <v>64</v>
      </c>
      <c r="C46" s="192"/>
      <c r="D46" s="192"/>
      <c r="E46" s="192"/>
      <c r="F46" s="192"/>
      <c r="G46" s="192"/>
      <c r="H46" s="192"/>
      <c r="I46" s="192"/>
      <c r="J46" s="192"/>
      <c r="K46" s="192"/>
    </row>
    <row r="47" spans="2:11">
      <c r="B47" s="186"/>
      <c r="C47" s="186"/>
      <c r="D47" s="186"/>
      <c r="E47" s="186"/>
      <c r="F47" s="186"/>
      <c r="G47" s="186"/>
      <c r="H47" s="186"/>
      <c r="I47" s="186"/>
      <c r="J47" s="186"/>
      <c r="K47" s="186"/>
    </row>
    <row r="48" spans="2:11" ht="13.8">
      <c r="B48" s="193" t="s">
        <v>65</v>
      </c>
      <c r="C48" s="193"/>
      <c r="D48" s="193"/>
      <c r="E48" s="193"/>
      <c r="F48" s="193"/>
      <c r="G48" s="193"/>
      <c r="H48" s="193"/>
      <c r="I48" s="193"/>
      <c r="J48" s="193"/>
      <c r="K48" s="193"/>
    </row>
    <row r="49" spans="2:27" ht="13.8">
      <c r="B49" s="5">
        <v>1</v>
      </c>
      <c r="C49" s="159" t="s">
        <v>66</v>
      </c>
      <c r="D49" s="159"/>
      <c r="E49" s="159"/>
      <c r="F49" s="159"/>
      <c r="G49" s="159"/>
      <c r="H49" s="159"/>
      <c r="I49" s="194" t="s">
        <v>67</v>
      </c>
      <c r="J49" s="194"/>
      <c r="K49" s="194"/>
    </row>
    <row r="50" spans="2:27" ht="13.8">
      <c r="B50" s="5">
        <v>2</v>
      </c>
      <c r="C50" s="159" t="s">
        <v>68</v>
      </c>
      <c r="D50" s="159"/>
      <c r="E50" s="159"/>
      <c r="F50" s="159"/>
      <c r="G50" s="159"/>
      <c r="H50" s="159"/>
      <c r="I50" s="195">
        <v>5143</v>
      </c>
      <c r="J50" s="195"/>
      <c r="K50" s="195"/>
    </row>
    <row r="51" spans="2:27" ht="13.8">
      <c r="B51" s="5">
        <v>3</v>
      </c>
      <c r="C51" s="159" t="s">
        <v>69</v>
      </c>
      <c r="D51" s="159"/>
      <c r="E51" s="159"/>
      <c r="F51" s="159"/>
      <c r="G51" s="159"/>
      <c r="H51" s="159"/>
      <c r="I51" s="196">
        <v>1540.51</v>
      </c>
      <c r="J51" s="196"/>
      <c r="K51" s="196"/>
    </row>
    <row r="52" spans="2:27" ht="13.8">
      <c r="B52" s="5">
        <v>4</v>
      </c>
      <c r="C52" s="159" t="s">
        <v>70</v>
      </c>
      <c r="D52" s="159"/>
      <c r="E52" s="159"/>
      <c r="F52" s="159"/>
      <c r="G52" s="159"/>
      <c r="H52" s="159"/>
      <c r="I52" s="197" t="s">
        <v>71</v>
      </c>
      <c r="J52" s="197"/>
      <c r="K52" s="197"/>
    </row>
    <row r="53" spans="2:27" ht="13.8">
      <c r="B53" s="5">
        <v>5</v>
      </c>
      <c r="C53" s="159" t="s">
        <v>72</v>
      </c>
      <c r="D53" s="159"/>
      <c r="E53" s="159"/>
      <c r="F53" s="159"/>
      <c r="G53" s="159"/>
      <c r="H53" s="159"/>
      <c r="I53" s="197" t="s">
        <v>73</v>
      </c>
      <c r="J53" s="197"/>
      <c r="K53" s="197"/>
    </row>
    <row r="54" spans="2:27">
      <c r="B54" s="186"/>
      <c r="C54" s="186"/>
      <c r="D54" s="186"/>
      <c r="E54" s="186"/>
      <c r="F54" s="186"/>
      <c r="G54" s="186"/>
      <c r="H54" s="186"/>
      <c r="I54" s="186"/>
      <c r="J54" s="186"/>
      <c r="K54" s="186"/>
    </row>
    <row r="55" spans="2:27" ht="19.2">
      <c r="B55" s="192" t="s">
        <v>74</v>
      </c>
      <c r="C55" s="192"/>
      <c r="D55" s="192"/>
      <c r="E55" s="192"/>
      <c r="F55" s="192"/>
      <c r="G55" s="192"/>
      <c r="H55" s="192"/>
      <c r="I55" s="192"/>
      <c r="J55" s="192"/>
      <c r="K55" s="192"/>
    </row>
    <row r="56" spans="2:27" ht="27.6">
      <c r="B56" s="21">
        <v>1</v>
      </c>
      <c r="C56" s="193" t="s">
        <v>75</v>
      </c>
      <c r="D56" s="193"/>
      <c r="E56" s="193"/>
      <c r="F56" s="193"/>
      <c r="G56" s="193"/>
      <c r="H56" s="193"/>
      <c r="I56" s="193" t="s">
        <v>76</v>
      </c>
      <c r="J56" s="193"/>
      <c r="K56" s="21" t="s">
        <v>77</v>
      </c>
    </row>
    <row r="57" spans="2:27">
      <c r="B57" s="5" t="s">
        <v>7</v>
      </c>
      <c r="C57" s="159" t="s">
        <v>78</v>
      </c>
      <c r="D57" s="159"/>
      <c r="E57" s="159"/>
      <c r="F57" s="159"/>
      <c r="G57" s="159"/>
      <c r="H57" s="159"/>
      <c r="I57" s="159"/>
      <c r="J57" s="159"/>
      <c r="K57" s="22">
        <f>I51</f>
        <v>1540.51</v>
      </c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</row>
    <row r="58" spans="2:27" ht="15.6">
      <c r="B58" s="5" t="s">
        <v>9</v>
      </c>
      <c r="C58" s="159" t="s">
        <v>79</v>
      </c>
      <c r="D58" s="159"/>
      <c r="E58" s="159"/>
      <c r="F58" s="159"/>
      <c r="G58" s="159"/>
      <c r="H58" s="159"/>
      <c r="I58" s="159"/>
      <c r="J58" s="24">
        <v>0.2</v>
      </c>
      <c r="K58" s="25">
        <f>ROUND(J58*K57,2)</f>
        <v>308.10000000000002</v>
      </c>
      <c r="L58" s="26"/>
    </row>
    <row r="59" spans="2:27" ht="13.8">
      <c r="B59" s="184" t="s">
        <v>80</v>
      </c>
      <c r="C59" s="184"/>
      <c r="D59" s="184"/>
      <c r="E59" s="184"/>
      <c r="F59" s="184"/>
      <c r="G59" s="184"/>
      <c r="H59" s="184"/>
      <c r="I59" s="184"/>
      <c r="J59" s="184"/>
      <c r="K59" s="27">
        <f>SUM(K57:K58)</f>
        <v>1848.6100000000001</v>
      </c>
    </row>
    <row r="60" spans="2:27">
      <c r="B60" s="186"/>
      <c r="C60" s="186"/>
      <c r="D60" s="186"/>
      <c r="E60" s="186"/>
      <c r="F60" s="186"/>
      <c r="G60" s="186"/>
      <c r="H60" s="186"/>
      <c r="I60" s="186"/>
      <c r="J60" s="186"/>
      <c r="K60" s="186"/>
    </row>
    <row r="61" spans="2:27" ht="13.8">
      <c r="B61" s="198" t="s">
        <v>81</v>
      </c>
      <c r="C61" s="198"/>
      <c r="D61" s="198"/>
      <c r="E61" s="198"/>
      <c r="F61" s="198"/>
      <c r="G61" s="198"/>
      <c r="H61" s="198"/>
      <c r="I61" s="198"/>
      <c r="J61" s="198"/>
      <c r="K61" s="198"/>
    </row>
    <row r="62" spans="2:27" ht="13.8">
      <c r="B62" s="199" t="s">
        <v>82</v>
      </c>
      <c r="C62" s="199"/>
      <c r="D62" s="199"/>
      <c r="E62" s="199"/>
      <c r="F62" s="199"/>
      <c r="G62" s="199"/>
      <c r="H62" s="199"/>
      <c r="I62" s="199"/>
      <c r="J62" s="199"/>
      <c r="K62" s="199"/>
    </row>
    <row r="63" spans="2:27" ht="13.8">
      <c r="B63" s="28" t="s">
        <v>83</v>
      </c>
      <c r="C63" s="200" t="s">
        <v>84</v>
      </c>
      <c r="D63" s="200"/>
      <c r="E63" s="200"/>
      <c r="F63" s="200"/>
      <c r="G63" s="200"/>
      <c r="H63" s="200"/>
      <c r="I63" s="200"/>
      <c r="J63" s="200"/>
      <c r="K63" s="14" t="s">
        <v>85</v>
      </c>
    </row>
    <row r="64" spans="2:27">
      <c r="B64" s="29" t="s">
        <v>7</v>
      </c>
      <c r="C64" s="159" t="s">
        <v>86</v>
      </c>
      <c r="D64" s="159"/>
      <c r="E64" s="159"/>
      <c r="F64" s="159"/>
      <c r="G64" s="159"/>
      <c r="H64" s="159"/>
      <c r="I64" s="159"/>
      <c r="J64" s="30">
        <v>8.3299999999999999E-2</v>
      </c>
      <c r="K64" s="31">
        <f>$K$59*J64</f>
        <v>153.98921300000001</v>
      </c>
    </row>
    <row r="65" spans="2:11">
      <c r="B65" s="29" t="s">
        <v>9</v>
      </c>
      <c r="C65" s="201" t="s">
        <v>87</v>
      </c>
      <c r="D65" s="201"/>
      <c r="E65" s="201"/>
      <c r="F65" s="201"/>
      <c r="G65" s="201"/>
      <c r="H65" s="201"/>
      <c r="I65" s="201"/>
      <c r="J65" s="32">
        <v>3.0249999999999999E-2</v>
      </c>
      <c r="K65" s="31">
        <f>$K$59*J65</f>
        <v>55.920452500000003</v>
      </c>
    </row>
    <row r="66" spans="2:11">
      <c r="B66" s="202" t="s">
        <v>88</v>
      </c>
      <c r="C66" s="202"/>
      <c r="D66" s="202"/>
      <c r="E66" s="202"/>
      <c r="F66" s="202"/>
      <c r="G66" s="202"/>
      <c r="H66" s="202"/>
      <c r="I66" s="202"/>
      <c r="J66" s="202"/>
      <c r="K66" s="31">
        <f>SUM(K64+K65)</f>
        <v>209.90966550000002</v>
      </c>
    </row>
    <row r="67" spans="2:11">
      <c r="B67" s="33" t="s">
        <v>12</v>
      </c>
      <c r="C67" s="203" t="s">
        <v>89</v>
      </c>
      <c r="D67" s="203"/>
      <c r="E67" s="203"/>
      <c r="F67" s="203"/>
      <c r="G67" s="203"/>
      <c r="H67" s="203"/>
      <c r="I67" s="203"/>
      <c r="J67" s="203"/>
      <c r="K67" s="34">
        <f>J80*K66</f>
        <v>77.246756904000023</v>
      </c>
    </row>
    <row r="68" spans="2:11">
      <c r="B68" s="188" t="s">
        <v>88</v>
      </c>
      <c r="C68" s="188"/>
      <c r="D68" s="188"/>
      <c r="E68" s="188"/>
      <c r="F68" s="188"/>
      <c r="G68" s="188"/>
      <c r="H68" s="188"/>
      <c r="I68" s="188"/>
      <c r="J68" s="188"/>
      <c r="K68" s="35">
        <f>K66+K67</f>
        <v>287.15642240400007</v>
      </c>
    </row>
    <row r="69" spans="2:11">
      <c r="B69" s="186"/>
      <c r="C69" s="186"/>
      <c r="D69" s="186"/>
      <c r="E69" s="186"/>
      <c r="F69" s="186"/>
      <c r="G69" s="186"/>
      <c r="H69" s="186"/>
      <c r="I69" s="186"/>
      <c r="J69" s="186"/>
      <c r="K69" s="186"/>
    </row>
    <row r="70" spans="2:11" ht="13.8">
      <c r="B70" s="198" t="s">
        <v>90</v>
      </c>
      <c r="C70" s="198"/>
      <c r="D70" s="198"/>
      <c r="E70" s="198"/>
      <c r="F70" s="198"/>
      <c r="G70" s="198"/>
      <c r="H70" s="198"/>
      <c r="I70" s="198"/>
      <c r="J70" s="198"/>
      <c r="K70" s="198"/>
    </row>
    <row r="71" spans="2:11" ht="27.6">
      <c r="B71" s="36" t="s">
        <v>91</v>
      </c>
      <c r="C71" s="204" t="s">
        <v>92</v>
      </c>
      <c r="D71" s="204"/>
      <c r="E71" s="204"/>
      <c r="F71" s="204"/>
      <c r="G71" s="204"/>
      <c r="H71" s="204"/>
      <c r="I71" s="204"/>
      <c r="J71" s="21" t="s">
        <v>93</v>
      </c>
      <c r="K71" s="21" t="s">
        <v>94</v>
      </c>
    </row>
    <row r="72" spans="2:11">
      <c r="B72" s="29" t="s">
        <v>7</v>
      </c>
      <c r="C72" s="203" t="s">
        <v>95</v>
      </c>
      <c r="D72" s="203"/>
      <c r="E72" s="203"/>
      <c r="F72" s="203"/>
      <c r="G72" s="203"/>
      <c r="H72" s="203"/>
      <c r="I72" s="203"/>
      <c r="J72" s="37">
        <v>0.2</v>
      </c>
      <c r="K72" s="31">
        <f t="shared" ref="K72:K79" si="0">$K$59*J72</f>
        <v>369.72200000000004</v>
      </c>
    </row>
    <row r="73" spans="2:11">
      <c r="B73" s="29" t="s">
        <v>9</v>
      </c>
      <c r="C73" s="203" t="s">
        <v>96</v>
      </c>
      <c r="D73" s="203"/>
      <c r="E73" s="203"/>
      <c r="F73" s="203"/>
      <c r="G73" s="203"/>
      <c r="H73" s="203"/>
      <c r="I73" s="203"/>
      <c r="J73" s="37">
        <v>2.5000000000000001E-2</v>
      </c>
      <c r="K73" s="31">
        <f t="shared" si="0"/>
        <v>46.215250000000005</v>
      </c>
    </row>
    <row r="74" spans="2:11">
      <c r="B74" s="29" t="s">
        <v>12</v>
      </c>
      <c r="C74" s="203" t="s">
        <v>97</v>
      </c>
      <c r="D74" s="203"/>
      <c r="E74" s="203"/>
      <c r="F74" s="19" t="s">
        <v>98</v>
      </c>
      <c r="G74" s="38">
        <v>0.03</v>
      </c>
      <c r="H74" s="19" t="s">
        <v>99</v>
      </c>
      <c r="I74" s="39">
        <v>1</v>
      </c>
      <c r="J74" s="40">
        <f>ROUND((G74*I74),6)</f>
        <v>0.03</v>
      </c>
      <c r="K74" s="31">
        <f t="shared" si="0"/>
        <v>55.458300000000001</v>
      </c>
    </row>
    <row r="75" spans="2:11">
      <c r="B75" s="29" t="s">
        <v>15</v>
      </c>
      <c r="C75" s="203" t="s">
        <v>100</v>
      </c>
      <c r="D75" s="203"/>
      <c r="E75" s="203"/>
      <c r="F75" s="203"/>
      <c r="G75" s="203"/>
      <c r="H75" s="203"/>
      <c r="I75" s="203"/>
      <c r="J75" s="37">
        <v>1.4999999999999999E-2</v>
      </c>
      <c r="K75" s="31">
        <f t="shared" si="0"/>
        <v>27.729150000000001</v>
      </c>
    </row>
    <row r="76" spans="2:11">
      <c r="B76" s="29" t="s">
        <v>101</v>
      </c>
      <c r="C76" s="203" t="s">
        <v>102</v>
      </c>
      <c r="D76" s="203"/>
      <c r="E76" s="203"/>
      <c r="F76" s="203"/>
      <c r="G76" s="203"/>
      <c r="H76" s="203"/>
      <c r="I76" s="203"/>
      <c r="J76" s="37">
        <v>0.01</v>
      </c>
      <c r="K76" s="31">
        <f t="shared" si="0"/>
        <v>18.4861</v>
      </c>
    </row>
    <row r="77" spans="2:11">
      <c r="B77" s="29" t="s">
        <v>103</v>
      </c>
      <c r="C77" s="203" t="s">
        <v>104</v>
      </c>
      <c r="D77" s="203"/>
      <c r="E77" s="203"/>
      <c r="F77" s="203"/>
      <c r="G77" s="203"/>
      <c r="H77" s="203"/>
      <c r="I77" s="203"/>
      <c r="J77" s="37">
        <v>6.0000000000000001E-3</v>
      </c>
      <c r="K77" s="31">
        <f t="shared" si="0"/>
        <v>11.091660000000001</v>
      </c>
    </row>
    <row r="78" spans="2:11">
      <c r="B78" s="29" t="s">
        <v>105</v>
      </c>
      <c r="C78" s="203" t="s">
        <v>106</v>
      </c>
      <c r="D78" s="203"/>
      <c r="E78" s="203"/>
      <c r="F78" s="203"/>
      <c r="G78" s="203"/>
      <c r="H78" s="203"/>
      <c r="I78" s="203"/>
      <c r="J78" s="37">
        <v>2E-3</v>
      </c>
      <c r="K78" s="31">
        <f t="shared" si="0"/>
        <v>3.6972200000000002</v>
      </c>
    </row>
    <row r="79" spans="2:11">
      <c r="B79" s="29" t="s">
        <v>107</v>
      </c>
      <c r="C79" s="203" t="s">
        <v>108</v>
      </c>
      <c r="D79" s="203"/>
      <c r="E79" s="203"/>
      <c r="F79" s="203"/>
      <c r="G79" s="203"/>
      <c r="H79" s="203"/>
      <c r="I79" s="203"/>
      <c r="J79" s="37">
        <v>0.08</v>
      </c>
      <c r="K79" s="31">
        <f t="shared" si="0"/>
        <v>147.8888</v>
      </c>
    </row>
    <row r="80" spans="2:11">
      <c r="B80" s="188" t="s">
        <v>88</v>
      </c>
      <c r="C80" s="188"/>
      <c r="D80" s="188"/>
      <c r="E80" s="188"/>
      <c r="F80" s="188"/>
      <c r="G80" s="188"/>
      <c r="H80" s="188"/>
      <c r="I80" s="188"/>
      <c r="J80" s="41">
        <f>SUM(J72:J79)</f>
        <v>0.36800000000000005</v>
      </c>
      <c r="K80" s="35">
        <f>SUM(K72:K79)</f>
        <v>680.28848000000016</v>
      </c>
    </row>
    <row r="81" spans="2:12">
      <c r="B81" s="186"/>
      <c r="C81" s="186"/>
      <c r="D81" s="186"/>
      <c r="E81" s="186"/>
      <c r="F81" s="186"/>
      <c r="G81" s="186"/>
      <c r="H81" s="186"/>
      <c r="I81" s="186"/>
      <c r="J81" s="186"/>
      <c r="K81" s="186"/>
    </row>
    <row r="82" spans="2:12" ht="13.8">
      <c r="B82" s="198" t="s">
        <v>109</v>
      </c>
      <c r="C82" s="198"/>
      <c r="D82" s="198"/>
      <c r="E82" s="198"/>
      <c r="F82" s="198"/>
      <c r="G82" s="198"/>
      <c r="H82" s="198"/>
      <c r="I82" s="198"/>
      <c r="J82" s="198"/>
      <c r="K82" s="198"/>
    </row>
    <row r="83" spans="2:12" ht="13.8">
      <c r="B83" s="36" t="s">
        <v>110</v>
      </c>
      <c r="C83" s="204" t="s">
        <v>111</v>
      </c>
      <c r="D83" s="204"/>
      <c r="E83" s="204"/>
      <c r="F83" s="204"/>
      <c r="G83" s="204"/>
      <c r="H83" s="204"/>
      <c r="I83" s="204"/>
      <c r="J83" s="204"/>
      <c r="K83" s="21" t="s">
        <v>85</v>
      </c>
    </row>
    <row r="84" spans="2:12">
      <c r="B84" s="29" t="s">
        <v>7</v>
      </c>
      <c r="C84" s="203" t="s">
        <v>112</v>
      </c>
      <c r="D84" s="203"/>
      <c r="E84" s="203"/>
      <c r="F84" s="203"/>
      <c r="G84" s="203"/>
      <c r="H84" s="203"/>
      <c r="I84" s="203"/>
      <c r="J84" s="203"/>
      <c r="K84" s="31">
        <f>IF(ROUND((J87*J85*J86)-(K57*0.06),2)&lt;0,0,ROUND((J87*J85*J86)-(K57*0.06),2))*1+(J85*J86*21.726-0.06*K57)*0</f>
        <v>94.57</v>
      </c>
    </row>
    <row r="85" spans="2:12" ht="13.8">
      <c r="B85" s="29"/>
      <c r="C85" s="201" t="s">
        <v>113</v>
      </c>
      <c r="D85" s="201"/>
      <c r="E85" s="201"/>
      <c r="F85" s="201"/>
      <c r="G85" s="201"/>
      <c r="H85" s="201"/>
      <c r="I85" s="201"/>
      <c r="J85" s="42">
        <v>4.25</v>
      </c>
      <c r="K85" s="43" t="s">
        <v>114</v>
      </c>
      <c r="L85" s="44"/>
    </row>
    <row r="86" spans="2:12">
      <c r="B86" s="29"/>
      <c r="C86" s="205" t="s">
        <v>115</v>
      </c>
      <c r="D86" s="205"/>
      <c r="E86" s="205"/>
      <c r="F86" s="205"/>
      <c r="G86" s="205"/>
      <c r="H86" s="205"/>
      <c r="I86" s="205"/>
      <c r="J86" s="45">
        <v>2</v>
      </c>
      <c r="K86" s="43"/>
    </row>
    <row r="87" spans="2:12">
      <c r="B87" s="29"/>
      <c r="C87" s="205" t="s">
        <v>116</v>
      </c>
      <c r="D87" s="205"/>
      <c r="E87" s="205"/>
      <c r="F87" s="205"/>
      <c r="G87" s="205"/>
      <c r="H87" s="205"/>
      <c r="I87" s="205"/>
      <c r="J87" s="46">
        <v>22</v>
      </c>
      <c r="K87" s="43"/>
    </row>
    <row r="88" spans="2:12">
      <c r="B88" s="29" t="s">
        <v>9</v>
      </c>
      <c r="C88" s="203" t="s">
        <v>117</v>
      </c>
      <c r="D88" s="203"/>
      <c r="E88" s="203"/>
      <c r="F88" s="203"/>
      <c r="G88" s="203"/>
      <c r="H88" s="203"/>
      <c r="I88" s="203"/>
      <c r="J88" s="203"/>
      <c r="K88" s="31">
        <f>ROUND(J90*J89*(1-0.19),2)*1+ROUND(21.726*6*(1-0.19),2)*0</f>
        <v>421.98</v>
      </c>
    </row>
    <row r="89" spans="2:12">
      <c r="B89" s="29"/>
      <c r="C89" s="206" t="s">
        <v>118</v>
      </c>
      <c r="D89" s="206"/>
      <c r="E89" s="206"/>
      <c r="F89" s="206"/>
      <c r="G89" s="206"/>
      <c r="H89" s="206"/>
      <c r="I89" s="206"/>
      <c r="J89" s="42">
        <v>23.68</v>
      </c>
      <c r="K89" s="43" t="s">
        <v>114</v>
      </c>
      <c r="L89" s="47"/>
    </row>
    <row r="90" spans="2:12">
      <c r="B90" s="48"/>
      <c r="C90" s="206" t="s">
        <v>119</v>
      </c>
      <c r="D90" s="206"/>
      <c r="E90" s="206"/>
      <c r="F90" s="206"/>
      <c r="G90" s="206"/>
      <c r="H90" s="206"/>
      <c r="I90" s="206"/>
      <c r="J90" s="46">
        <v>22</v>
      </c>
      <c r="K90" s="43"/>
      <c r="L90" s="47"/>
    </row>
    <row r="91" spans="2:12" ht="15.6">
      <c r="B91" s="29" t="s">
        <v>12</v>
      </c>
      <c r="C91" s="159" t="s">
        <v>120</v>
      </c>
      <c r="D91" s="159"/>
      <c r="E91" s="159"/>
      <c r="F91" s="159"/>
      <c r="G91" s="159"/>
      <c r="H91" s="159"/>
      <c r="I91" s="159"/>
      <c r="J91" s="159"/>
      <c r="K91" s="49">
        <v>19.420000000000002</v>
      </c>
      <c r="L91" s="26"/>
    </row>
    <row r="92" spans="2:12">
      <c r="B92" s="29" t="s">
        <v>15</v>
      </c>
      <c r="C92" s="159" t="s">
        <v>121</v>
      </c>
      <c r="D92" s="159"/>
      <c r="E92" s="159"/>
      <c r="F92" s="159"/>
      <c r="G92" s="159"/>
      <c r="H92" s="159"/>
      <c r="I92" s="159"/>
      <c r="J92" s="159"/>
      <c r="K92" s="17"/>
    </row>
    <row r="93" spans="2:12">
      <c r="B93" s="188" t="s">
        <v>80</v>
      </c>
      <c r="C93" s="188"/>
      <c r="D93" s="188"/>
      <c r="E93" s="188"/>
      <c r="F93" s="188"/>
      <c r="G93" s="188"/>
      <c r="H93" s="188"/>
      <c r="I93" s="188"/>
      <c r="J93" s="188"/>
      <c r="K93" s="35">
        <f>SUM(K84:K92)</f>
        <v>535.96999999999991</v>
      </c>
    </row>
    <row r="94" spans="2:12">
      <c r="B94" s="186"/>
      <c r="C94" s="186"/>
      <c r="D94" s="186"/>
      <c r="E94" s="186"/>
      <c r="F94" s="186"/>
      <c r="G94" s="186"/>
      <c r="H94" s="186"/>
      <c r="I94" s="186"/>
      <c r="J94" s="186"/>
      <c r="K94" s="186"/>
    </row>
    <row r="95" spans="2:12" ht="13.8">
      <c r="B95" s="198" t="s">
        <v>122</v>
      </c>
      <c r="C95" s="198"/>
      <c r="D95" s="198"/>
      <c r="E95" s="198"/>
      <c r="F95" s="198"/>
      <c r="G95" s="198"/>
      <c r="H95" s="198"/>
      <c r="I95" s="198"/>
      <c r="J95" s="198"/>
      <c r="K95" s="198"/>
    </row>
    <row r="96" spans="2:12" ht="13.8">
      <c r="B96" s="21">
        <v>2</v>
      </c>
      <c r="C96" s="193" t="s">
        <v>123</v>
      </c>
      <c r="D96" s="193"/>
      <c r="E96" s="193"/>
      <c r="F96" s="193"/>
      <c r="G96" s="193"/>
      <c r="H96" s="193"/>
      <c r="I96" s="193"/>
      <c r="J96" s="193"/>
      <c r="K96" s="21" t="s">
        <v>85</v>
      </c>
    </row>
    <row r="97" spans="2:16">
      <c r="B97" s="5" t="s">
        <v>83</v>
      </c>
      <c r="C97" s="5"/>
      <c r="D97" s="159" t="s">
        <v>124</v>
      </c>
      <c r="E97" s="159"/>
      <c r="F97" s="159"/>
      <c r="G97" s="159"/>
      <c r="H97" s="159"/>
      <c r="I97" s="159"/>
      <c r="J97" s="159"/>
      <c r="K97" s="49">
        <f>K68</f>
        <v>287.15642240400007</v>
      </c>
    </row>
    <row r="98" spans="2:16">
      <c r="B98" s="5" t="s">
        <v>91</v>
      </c>
      <c r="C98" s="5"/>
      <c r="D98" s="159" t="s">
        <v>92</v>
      </c>
      <c r="E98" s="159"/>
      <c r="F98" s="159"/>
      <c r="G98" s="159"/>
      <c r="H98" s="159"/>
      <c r="I98" s="159"/>
      <c r="J98" s="159"/>
      <c r="K98" s="49">
        <f>K80</f>
        <v>680.28848000000016</v>
      </c>
    </row>
    <row r="99" spans="2:16">
      <c r="B99" s="5" t="s">
        <v>110</v>
      </c>
      <c r="C99" s="5"/>
      <c r="D99" s="159" t="s">
        <v>111</v>
      </c>
      <c r="E99" s="159"/>
      <c r="F99" s="159"/>
      <c r="G99" s="159"/>
      <c r="H99" s="159"/>
      <c r="I99" s="159"/>
      <c r="J99" s="159"/>
      <c r="K99" s="49">
        <f>K93</f>
        <v>535.96999999999991</v>
      </c>
    </row>
    <row r="100" spans="2:16">
      <c r="B100" s="184" t="s">
        <v>88</v>
      </c>
      <c r="C100" s="184"/>
      <c r="D100" s="184"/>
      <c r="E100" s="184"/>
      <c r="F100" s="184"/>
      <c r="G100" s="184"/>
      <c r="H100" s="184"/>
      <c r="I100" s="184"/>
      <c r="J100" s="184"/>
      <c r="K100" s="50">
        <f>SUM(K97+K98+K99)</f>
        <v>1503.4149024040003</v>
      </c>
    </row>
    <row r="101" spans="2:16">
      <c r="B101" s="186"/>
      <c r="C101" s="186"/>
      <c r="D101" s="186"/>
      <c r="E101" s="186"/>
      <c r="F101" s="186"/>
      <c r="G101" s="186"/>
      <c r="H101" s="186"/>
      <c r="I101" s="186"/>
      <c r="J101" s="186"/>
      <c r="K101" s="186"/>
    </row>
    <row r="102" spans="2:16" ht="13.8">
      <c r="B102" s="198" t="s">
        <v>125</v>
      </c>
      <c r="C102" s="198"/>
      <c r="D102" s="198"/>
      <c r="E102" s="198"/>
      <c r="F102" s="198"/>
      <c r="G102" s="198"/>
      <c r="H102" s="198"/>
      <c r="I102" s="198"/>
      <c r="J102" s="198"/>
      <c r="K102" s="198"/>
    </row>
    <row r="103" spans="2:16" ht="13.8">
      <c r="B103" s="36">
        <v>3</v>
      </c>
      <c r="C103" s="193" t="s">
        <v>126</v>
      </c>
      <c r="D103" s="193"/>
      <c r="E103" s="193"/>
      <c r="F103" s="193"/>
      <c r="G103" s="193"/>
      <c r="H103" s="193"/>
      <c r="I103" s="193"/>
      <c r="J103" s="193"/>
      <c r="K103" s="36" t="s">
        <v>127</v>
      </c>
    </row>
    <row r="104" spans="2:16">
      <c r="B104" s="29" t="s">
        <v>7</v>
      </c>
      <c r="C104" s="159" t="s">
        <v>128</v>
      </c>
      <c r="D104" s="159"/>
      <c r="E104" s="159"/>
      <c r="F104" s="159"/>
      <c r="G104" s="159"/>
      <c r="H104" s="159"/>
      <c r="I104" s="159"/>
      <c r="J104" s="159"/>
      <c r="K104" s="31">
        <f>(($K$59/I10)+($K$64/I10)+($K$59/12/I10)+($K$65/I10))*(45/30)*0.05</f>
        <v>2.7657131235416665</v>
      </c>
      <c r="M104" s="51"/>
      <c r="O104" s="51"/>
    </row>
    <row r="105" spans="2:16">
      <c r="B105" s="29" t="s">
        <v>9</v>
      </c>
      <c r="C105" s="159" t="s">
        <v>129</v>
      </c>
      <c r="D105" s="159"/>
      <c r="E105" s="159"/>
      <c r="F105" s="159"/>
      <c r="G105" s="159"/>
      <c r="H105" s="159"/>
      <c r="I105" s="159"/>
      <c r="J105" s="159"/>
      <c r="K105" s="31">
        <f>$K$104*J79</f>
        <v>0.22125704988333333</v>
      </c>
      <c r="P105" s="51"/>
    </row>
    <row r="106" spans="2:16">
      <c r="B106" s="29" t="s">
        <v>15</v>
      </c>
      <c r="C106" s="159" t="s">
        <v>130</v>
      </c>
      <c r="D106" s="159"/>
      <c r="E106" s="159"/>
      <c r="F106" s="159"/>
      <c r="G106" s="159"/>
      <c r="H106" s="159"/>
      <c r="I106" s="159"/>
      <c r="J106" s="159"/>
      <c r="K106" s="31">
        <f>((($K$59/30)*7)/$I$10)*0.9</f>
        <v>6.470135</v>
      </c>
      <c r="N106" s="51"/>
    </row>
    <row r="107" spans="2:16">
      <c r="B107" s="29" t="s">
        <v>101</v>
      </c>
      <c r="C107" s="159" t="s">
        <v>131</v>
      </c>
      <c r="D107" s="159"/>
      <c r="E107" s="159"/>
      <c r="F107" s="159"/>
      <c r="G107" s="159"/>
      <c r="H107" s="159"/>
      <c r="I107" s="159"/>
      <c r="J107" s="159"/>
      <c r="K107" s="31">
        <f>$J$80*K106</f>
        <v>2.3810096800000005</v>
      </c>
    </row>
    <row r="108" spans="2:16">
      <c r="B108" s="29" t="s">
        <v>103</v>
      </c>
      <c r="C108" s="159" t="s">
        <v>132</v>
      </c>
      <c r="D108" s="159"/>
      <c r="E108" s="159"/>
      <c r="F108" s="159"/>
      <c r="G108" s="159"/>
      <c r="H108" s="159"/>
      <c r="I108" s="159"/>
      <c r="J108" s="52">
        <v>0.04</v>
      </c>
      <c r="K108" s="31">
        <f>$K$59*J108</f>
        <v>73.944400000000002</v>
      </c>
    </row>
    <row r="109" spans="2:16">
      <c r="B109" s="188" t="s">
        <v>88</v>
      </c>
      <c r="C109" s="188"/>
      <c r="D109" s="188"/>
      <c r="E109" s="188"/>
      <c r="F109" s="188"/>
      <c r="G109" s="188"/>
      <c r="H109" s="188"/>
      <c r="I109" s="188"/>
      <c r="J109" s="188"/>
      <c r="K109" s="35">
        <f>SUM(K104:K108)</f>
        <v>85.782514853424999</v>
      </c>
    </row>
    <row r="110" spans="2:16">
      <c r="B110" s="186"/>
      <c r="C110" s="186"/>
      <c r="D110" s="186"/>
      <c r="E110" s="186"/>
      <c r="F110" s="186"/>
      <c r="G110" s="186"/>
      <c r="H110" s="186"/>
      <c r="I110" s="186"/>
      <c r="J110" s="186"/>
      <c r="K110" s="186"/>
    </row>
    <row r="111" spans="2:16" ht="13.8">
      <c r="B111" s="198" t="s">
        <v>133</v>
      </c>
      <c r="C111" s="198"/>
      <c r="D111" s="198"/>
      <c r="E111" s="198"/>
      <c r="F111" s="198"/>
      <c r="G111" s="198"/>
      <c r="H111" s="198"/>
      <c r="I111" s="198"/>
      <c r="J111" s="198"/>
      <c r="K111" s="198"/>
    </row>
    <row r="112" spans="2:16" ht="13.8">
      <c r="B112" s="207" t="s">
        <v>134</v>
      </c>
      <c r="C112" s="207"/>
      <c r="D112" s="207"/>
      <c r="E112" s="207"/>
      <c r="F112" s="207"/>
      <c r="G112" s="207"/>
      <c r="H112" s="207"/>
      <c r="I112" s="207"/>
      <c r="J112" s="207"/>
      <c r="K112" s="53">
        <f>K115+K59+K64+K65</f>
        <v>2226.281023</v>
      </c>
    </row>
    <row r="113" spans="2:11"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</row>
    <row r="114" spans="2:11" ht="13.8">
      <c r="B114" s="54" t="s">
        <v>135</v>
      </c>
      <c r="C114" s="204" t="s">
        <v>136</v>
      </c>
      <c r="D114" s="204"/>
      <c r="E114" s="204"/>
      <c r="F114" s="204"/>
      <c r="G114" s="204"/>
      <c r="H114" s="204"/>
      <c r="I114" s="204"/>
      <c r="J114" s="204"/>
      <c r="K114" s="54" t="s">
        <v>85</v>
      </c>
    </row>
    <row r="115" spans="2:11">
      <c r="B115" s="33" t="s">
        <v>7</v>
      </c>
      <c r="C115" s="159" t="s">
        <v>137</v>
      </c>
      <c r="D115" s="159"/>
      <c r="E115" s="159"/>
      <c r="F115" s="159"/>
      <c r="G115" s="159"/>
      <c r="H115" s="159"/>
      <c r="I115" s="159"/>
      <c r="J115" s="32">
        <v>9.0749999999999997E-2</v>
      </c>
      <c r="K115" s="31">
        <f>($K$59*J115)</f>
        <v>167.7613575</v>
      </c>
    </row>
    <row r="116" spans="2:11">
      <c r="B116" s="33" t="s">
        <v>9</v>
      </c>
      <c r="C116" s="208" t="s">
        <v>138</v>
      </c>
      <c r="D116" s="208"/>
      <c r="E116" s="208"/>
      <c r="F116" s="208"/>
      <c r="G116" s="208"/>
      <c r="H116" s="208"/>
      <c r="I116" s="208"/>
      <c r="J116" s="208"/>
      <c r="K116" s="55">
        <f>(($K$112/30)*2.96)/I10</f>
        <v>3.6609954600444441</v>
      </c>
    </row>
    <row r="117" spans="2:11">
      <c r="B117" s="33" t="s">
        <v>12</v>
      </c>
      <c r="C117" s="208" t="s">
        <v>139</v>
      </c>
      <c r="D117" s="208"/>
      <c r="E117" s="208"/>
      <c r="F117" s="208"/>
      <c r="G117" s="208"/>
      <c r="H117" s="208"/>
      <c r="I117" s="208"/>
      <c r="J117" s="208"/>
      <c r="K117" s="55">
        <f>(($K$112/30)*5)/I10*0.015</f>
        <v>9.2761709291666661E-2</v>
      </c>
    </row>
    <row r="118" spans="2:11">
      <c r="B118" s="33" t="s">
        <v>15</v>
      </c>
      <c r="C118" s="208" t="s">
        <v>140</v>
      </c>
      <c r="D118" s="208"/>
      <c r="E118" s="208"/>
      <c r="F118" s="208"/>
      <c r="G118" s="208"/>
      <c r="H118" s="208"/>
      <c r="I118" s="208"/>
      <c r="J118" s="208"/>
      <c r="K118" s="34">
        <f>((($K$112/30)*15)/I10)*0.0078</f>
        <v>0.14470826649499999</v>
      </c>
    </row>
    <row r="119" spans="2:11">
      <c r="B119" s="33" t="s">
        <v>101</v>
      </c>
      <c r="C119" s="208" t="s">
        <v>141</v>
      </c>
      <c r="D119" s="208"/>
      <c r="E119" s="208"/>
      <c r="F119" s="208"/>
      <c r="G119" s="208"/>
      <c r="H119" s="208"/>
      <c r="I119" s="208"/>
      <c r="J119" s="208"/>
      <c r="K119" s="31">
        <f>((($K$59+$K$59/3)*4/12)/I10)*0.02</f>
        <v>0.27386814814814819</v>
      </c>
    </row>
    <row r="120" spans="2:11">
      <c r="B120" s="33" t="s">
        <v>103</v>
      </c>
      <c r="C120" s="208" t="s">
        <v>142</v>
      </c>
      <c r="D120" s="208"/>
      <c r="E120" s="208"/>
      <c r="F120" s="208"/>
      <c r="G120" s="208"/>
      <c r="H120" s="208"/>
      <c r="I120" s="208"/>
      <c r="J120" s="208"/>
      <c r="K120" s="34">
        <f>((($K$112/30)*5)/I10)</f>
        <v>6.1841139527777775</v>
      </c>
    </row>
    <row r="121" spans="2:11">
      <c r="B121" s="188" t="s">
        <v>88</v>
      </c>
      <c r="C121" s="188"/>
      <c r="D121" s="188"/>
      <c r="E121" s="188"/>
      <c r="F121" s="188"/>
      <c r="G121" s="188"/>
      <c r="H121" s="188"/>
      <c r="I121" s="188"/>
      <c r="J121" s="188"/>
      <c r="K121" s="56">
        <f>SUM(K115:K120)</f>
        <v>178.11780503675703</v>
      </c>
    </row>
    <row r="122" spans="2:11">
      <c r="B122" s="33" t="s">
        <v>105</v>
      </c>
      <c r="C122" s="203" t="s">
        <v>143</v>
      </c>
      <c r="D122" s="203"/>
      <c r="E122" s="203"/>
      <c r="F122" s="203"/>
      <c r="G122" s="203"/>
      <c r="H122" s="203"/>
      <c r="I122" s="203"/>
      <c r="J122" s="203"/>
      <c r="K122" s="34">
        <f>J80*K121</f>
        <v>65.547352253526597</v>
      </c>
    </row>
    <row r="123" spans="2:11">
      <c r="B123" s="188" t="s">
        <v>88</v>
      </c>
      <c r="C123" s="188"/>
      <c r="D123" s="188"/>
      <c r="E123" s="188"/>
      <c r="F123" s="188"/>
      <c r="G123" s="188"/>
      <c r="H123" s="188"/>
      <c r="I123" s="188"/>
      <c r="J123" s="188"/>
      <c r="K123" s="35">
        <f>SUM(K121:K122)</f>
        <v>243.66515729028362</v>
      </c>
    </row>
    <row r="124" spans="2:11" ht="13.8">
      <c r="B124" s="198" t="s">
        <v>144</v>
      </c>
      <c r="C124" s="198"/>
      <c r="D124" s="198"/>
      <c r="E124" s="198"/>
      <c r="F124" s="198"/>
      <c r="G124" s="198"/>
      <c r="H124" s="198"/>
      <c r="I124" s="198"/>
      <c r="J124" s="198"/>
      <c r="K124" s="198"/>
    </row>
    <row r="125" spans="2:11" ht="13.8">
      <c r="B125" s="36" t="s">
        <v>145</v>
      </c>
      <c r="C125" s="204" t="s">
        <v>146</v>
      </c>
      <c r="D125" s="204"/>
      <c r="E125" s="204"/>
      <c r="F125" s="204"/>
      <c r="G125" s="204"/>
      <c r="H125" s="204"/>
      <c r="I125" s="204"/>
      <c r="J125" s="204"/>
      <c r="K125" s="57" t="s">
        <v>85</v>
      </c>
    </row>
    <row r="126" spans="2:11">
      <c r="B126" s="29" t="s">
        <v>7</v>
      </c>
      <c r="C126" s="203" t="s">
        <v>147</v>
      </c>
      <c r="D126" s="203"/>
      <c r="E126" s="203"/>
      <c r="F126" s="203"/>
      <c r="G126" s="203"/>
      <c r="H126" s="203"/>
      <c r="I126" s="203"/>
      <c r="J126" s="203"/>
      <c r="K126" s="20">
        <v>0</v>
      </c>
    </row>
    <row r="127" spans="2:11">
      <c r="B127" s="202" t="s">
        <v>88</v>
      </c>
      <c r="C127" s="202"/>
      <c r="D127" s="202"/>
      <c r="E127" s="202"/>
      <c r="F127" s="202"/>
      <c r="G127" s="202"/>
      <c r="H127" s="202"/>
      <c r="I127" s="202"/>
      <c r="J127" s="202"/>
      <c r="K127" s="20">
        <v>0</v>
      </c>
    </row>
    <row r="128" spans="2:11">
      <c r="B128" s="33" t="s">
        <v>9</v>
      </c>
      <c r="C128" s="203" t="s">
        <v>148</v>
      </c>
      <c r="D128" s="203"/>
      <c r="E128" s="203"/>
      <c r="F128" s="203"/>
      <c r="G128" s="203"/>
      <c r="H128" s="203"/>
      <c r="I128" s="203"/>
      <c r="J128" s="203"/>
      <c r="K128" s="58">
        <f>ROUND(J80*K127,2)</f>
        <v>0</v>
      </c>
    </row>
    <row r="129" spans="2:12">
      <c r="B129" s="188" t="s">
        <v>88</v>
      </c>
      <c r="C129" s="188"/>
      <c r="D129" s="188"/>
      <c r="E129" s="188"/>
      <c r="F129" s="188"/>
      <c r="G129" s="188"/>
      <c r="H129" s="188"/>
      <c r="I129" s="188"/>
      <c r="J129" s="188"/>
      <c r="K129" s="59">
        <f>SUM(K127:K128)</f>
        <v>0</v>
      </c>
    </row>
    <row r="130" spans="2:12">
      <c r="B130" s="190"/>
      <c r="C130" s="190"/>
      <c r="D130" s="190"/>
      <c r="E130" s="190"/>
      <c r="F130" s="190"/>
      <c r="G130" s="190"/>
      <c r="H130" s="190"/>
      <c r="I130" s="190"/>
      <c r="J130" s="190"/>
      <c r="K130" s="190"/>
    </row>
    <row r="131" spans="2:12" ht="13.8">
      <c r="B131" s="198" t="s">
        <v>149</v>
      </c>
      <c r="C131" s="198"/>
      <c r="D131" s="198"/>
      <c r="E131" s="198"/>
      <c r="F131" s="198"/>
      <c r="G131" s="198"/>
      <c r="H131" s="198"/>
      <c r="I131" s="198"/>
      <c r="J131" s="198"/>
      <c r="K131" s="198"/>
    </row>
    <row r="132" spans="2:12" ht="13.8">
      <c r="B132" s="21">
        <v>4</v>
      </c>
      <c r="C132" s="193" t="s">
        <v>150</v>
      </c>
      <c r="D132" s="193"/>
      <c r="E132" s="193"/>
      <c r="F132" s="193"/>
      <c r="G132" s="193"/>
      <c r="H132" s="193"/>
      <c r="I132" s="193"/>
      <c r="J132" s="193"/>
      <c r="K132" s="57" t="s">
        <v>85</v>
      </c>
    </row>
    <row r="133" spans="2:12">
      <c r="B133" s="5" t="s">
        <v>135</v>
      </c>
      <c r="C133" s="159" t="s">
        <v>136</v>
      </c>
      <c r="D133" s="159"/>
      <c r="E133" s="159"/>
      <c r="F133" s="159"/>
      <c r="G133" s="159"/>
      <c r="H133" s="159"/>
      <c r="I133" s="159"/>
      <c r="J133" s="159"/>
      <c r="K133" s="31">
        <f>K123</f>
        <v>243.66515729028362</v>
      </c>
    </row>
    <row r="134" spans="2:12">
      <c r="B134" s="5" t="s">
        <v>151</v>
      </c>
      <c r="C134" s="159" t="s">
        <v>146</v>
      </c>
      <c r="D134" s="159"/>
      <c r="E134" s="159"/>
      <c r="F134" s="159"/>
      <c r="G134" s="159"/>
      <c r="H134" s="159"/>
      <c r="I134" s="159"/>
      <c r="J134" s="159"/>
      <c r="K134" s="31">
        <f>K129</f>
        <v>0</v>
      </c>
    </row>
    <row r="135" spans="2:12">
      <c r="B135" s="184" t="s">
        <v>88</v>
      </c>
      <c r="C135" s="184"/>
      <c r="D135" s="184"/>
      <c r="E135" s="184"/>
      <c r="F135" s="184"/>
      <c r="G135" s="184"/>
      <c r="H135" s="184"/>
      <c r="I135" s="184"/>
      <c r="J135" s="184"/>
      <c r="K135" s="35">
        <f>SUM(K133+K134)</f>
        <v>243.66515729028362</v>
      </c>
    </row>
    <row r="136" spans="2:12">
      <c r="B136" s="186"/>
      <c r="C136" s="186"/>
      <c r="D136" s="186"/>
      <c r="E136" s="186"/>
      <c r="F136" s="186"/>
      <c r="G136" s="186"/>
      <c r="H136" s="186"/>
      <c r="I136" s="186"/>
      <c r="J136" s="186"/>
      <c r="K136" s="186"/>
    </row>
    <row r="137" spans="2:12" ht="13.8">
      <c r="B137" s="198" t="s">
        <v>152</v>
      </c>
      <c r="C137" s="198"/>
      <c r="D137" s="198"/>
      <c r="E137" s="198"/>
      <c r="F137" s="198"/>
      <c r="G137" s="198"/>
      <c r="H137" s="198"/>
      <c r="I137" s="198"/>
      <c r="J137" s="198"/>
      <c r="K137" s="198"/>
    </row>
    <row r="138" spans="2:12" ht="13.8">
      <c r="B138" s="36">
        <v>5</v>
      </c>
      <c r="C138" s="204" t="s">
        <v>153</v>
      </c>
      <c r="D138" s="204"/>
      <c r="E138" s="204"/>
      <c r="F138" s="204"/>
      <c r="G138" s="204"/>
      <c r="H138" s="204"/>
      <c r="I138" s="204"/>
      <c r="J138" s="204"/>
      <c r="K138" s="60" t="s">
        <v>85</v>
      </c>
    </row>
    <row r="139" spans="2:12">
      <c r="B139" s="29" t="s">
        <v>7</v>
      </c>
      <c r="C139" s="209" t="s">
        <v>154</v>
      </c>
      <c r="D139" s="209"/>
      <c r="E139" s="209"/>
      <c r="F139" s="209"/>
      <c r="G139" s="209"/>
      <c r="H139" s="209"/>
      <c r="I139" s="209"/>
      <c r="J139" s="209"/>
      <c r="K139" s="61">
        <f>INSUMOS!G97</f>
        <v>48.998333333333328</v>
      </c>
    </row>
    <row r="140" spans="2:12" ht="15.6">
      <c r="B140" s="29" t="s">
        <v>9</v>
      </c>
      <c r="C140" s="209" t="s">
        <v>155</v>
      </c>
      <c r="D140" s="209"/>
      <c r="E140" s="209"/>
      <c r="F140" s="209"/>
      <c r="G140" s="209"/>
      <c r="H140" s="209"/>
      <c r="I140" s="209"/>
      <c r="J140" s="209"/>
      <c r="K140" s="62">
        <f>INSUMOS!G93</f>
        <v>975.26166666666677</v>
      </c>
      <c r="L140" s="26"/>
    </row>
    <row r="141" spans="2:12">
      <c r="B141" s="29" t="s">
        <v>12</v>
      </c>
      <c r="C141" s="209" t="s">
        <v>156</v>
      </c>
      <c r="D141" s="209"/>
      <c r="E141" s="209"/>
      <c r="F141" s="209"/>
      <c r="G141" s="209"/>
      <c r="H141" s="209"/>
      <c r="I141" s="209"/>
      <c r="J141" s="209"/>
      <c r="K141" s="62">
        <f>INSUMOS!G95</f>
        <v>27.415731481481483</v>
      </c>
    </row>
    <row r="142" spans="2:12">
      <c r="B142" s="29" t="s">
        <v>15</v>
      </c>
      <c r="C142" s="209" t="s">
        <v>121</v>
      </c>
      <c r="D142" s="209"/>
      <c r="E142" s="209"/>
      <c r="F142" s="209"/>
      <c r="G142" s="209"/>
      <c r="H142" s="209"/>
      <c r="I142" s="209"/>
      <c r="J142" s="209"/>
      <c r="K142" s="62">
        <v>0</v>
      </c>
    </row>
    <row r="143" spans="2:12">
      <c r="B143" s="188" t="s">
        <v>80</v>
      </c>
      <c r="C143" s="188"/>
      <c r="D143" s="188"/>
      <c r="E143" s="188"/>
      <c r="F143" s="188"/>
      <c r="G143" s="188"/>
      <c r="H143" s="188"/>
      <c r="I143" s="188"/>
      <c r="J143" s="188"/>
      <c r="K143" s="63">
        <f>SUM(K139:K142)</f>
        <v>1051.6757314814815</v>
      </c>
    </row>
    <row r="144" spans="2:12">
      <c r="B144" s="186"/>
      <c r="C144" s="186"/>
      <c r="D144" s="186"/>
      <c r="E144" s="186"/>
      <c r="F144" s="186"/>
      <c r="G144" s="186"/>
      <c r="H144" s="186"/>
      <c r="I144" s="186"/>
      <c r="J144" s="186"/>
      <c r="K144" s="186"/>
    </row>
    <row r="145" spans="2:11" ht="13.8">
      <c r="B145" s="198" t="s">
        <v>157</v>
      </c>
      <c r="C145" s="198"/>
      <c r="D145" s="198"/>
      <c r="E145" s="198"/>
      <c r="F145" s="198"/>
      <c r="G145" s="198"/>
      <c r="H145" s="198"/>
      <c r="I145" s="198"/>
      <c r="J145" s="198"/>
      <c r="K145" s="198"/>
    </row>
    <row r="146" spans="2:11" ht="27.6">
      <c r="B146" s="36">
        <v>6</v>
      </c>
      <c r="C146" s="204" t="s">
        <v>158</v>
      </c>
      <c r="D146" s="204"/>
      <c r="E146" s="204"/>
      <c r="F146" s="204"/>
      <c r="G146" s="204"/>
      <c r="H146" s="204"/>
      <c r="I146" s="204"/>
      <c r="J146" s="21" t="s">
        <v>93</v>
      </c>
      <c r="K146" s="64" t="s">
        <v>94</v>
      </c>
    </row>
    <row r="147" spans="2:11">
      <c r="B147" s="201" t="s">
        <v>159</v>
      </c>
      <c r="C147" s="201"/>
      <c r="D147" s="201"/>
      <c r="E147" s="201"/>
      <c r="F147" s="201"/>
      <c r="G147" s="201"/>
      <c r="H147" s="201"/>
      <c r="I147" s="201"/>
      <c r="J147" s="65" t="s">
        <v>114</v>
      </c>
      <c r="K147" s="31">
        <f>SUM(K59+K100+K109+K135+K143)</f>
        <v>4733.1483060291903</v>
      </c>
    </row>
    <row r="148" spans="2:11" ht="15.6">
      <c r="B148" s="66" t="s">
        <v>7</v>
      </c>
      <c r="C148" s="210" t="s">
        <v>160</v>
      </c>
      <c r="D148" s="210"/>
      <c r="E148" s="210"/>
      <c r="F148" s="210"/>
      <c r="G148" s="210"/>
      <c r="H148" s="210"/>
      <c r="I148" s="210"/>
      <c r="J148" s="37">
        <v>0.05</v>
      </c>
      <c r="K148" s="31">
        <f>J148*K147</f>
        <v>236.65741530145954</v>
      </c>
    </row>
    <row r="149" spans="2:11">
      <c r="B149" s="201" t="s">
        <v>161</v>
      </c>
      <c r="C149" s="201"/>
      <c r="D149" s="201"/>
      <c r="E149" s="201"/>
      <c r="F149" s="201"/>
      <c r="G149" s="201"/>
      <c r="H149" s="201"/>
      <c r="I149" s="201"/>
      <c r="J149" s="67" t="s">
        <v>114</v>
      </c>
      <c r="K149" s="31">
        <f>SUM(K59+K100+K109+K135+K143+K148)</f>
        <v>4969.8057213306502</v>
      </c>
    </row>
    <row r="150" spans="2:11" ht="15.6">
      <c r="B150" s="66" t="s">
        <v>9</v>
      </c>
      <c r="C150" s="210" t="s">
        <v>162</v>
      </c>
      <c r="D150" s="210"/>
      <c r="E150" s="210"/>
      <c r="F150" s="210"/>
      <c r="G150" s="210"/>
      <c r="H150" s="210"/>
      <c r="I150" s="210"/>
      <c r="J150" s="37">
        <v>0.1</v>
      </c>
      <c r="K150" s="31">
        <f>J150*K149</f>
        <v>496.98057213306504</v>
      </c>
    </row>
    <row r="151" spans="2:11">
      <c r="B151" s="201" t="s">
        <v>163</v>
      </c>
      <c r="C151" s="201"/>
      <c r="D151" s="201"/>
      <c r="E151" s="201"/>
      <c r="F151" s="201"/>
      <c r="G151" s="201"/>
      <c r="H151" s="201"/>
      <c r="I151" s="201"/>
      <c r="J151" s="67" t="s">
        <v>114</v>
      </c>
      <c r="K151" s="31">
        <f>SUM(K59+K100+K109+K135+K143+K148+K150)</f>
        <v>5466.7862934637151</v>
      </c>
    </row>
    <row r="152" spans="2:11" ht="15.6">
      <c r="B152" s="66" t="s">
        <v>12</v>
      </c>
      <c r="C152" s="210" t="s">
        <v>164</v>
      </c>
      <c r="D152" s="210"/>
      <c r="E152" s="210"/>
      <c r="F152" s="210"/>
      <c r="G152" s="210"/>
      <c r="H152" s="210"/>
      <c r="I152" s="210"/>
      <c r="J152" s="30" t="s">
        <v>114</v>
      </c>
      <c r="K152" s="43" t="s">
        <v>114</v>
      </c>
    </row>
    <row r="153" spans="2:11">
      <c r="B153" s="29"/>
      <c r="C153" s="203" t="s">
        <v>165</v>
      </c>
      <c r="D153" s="203"/>
      <c r="E153" s="203"/>
      <c r="F153" s="203"/>
      <c r="G153" s="203"/>
      <c r="H153" s="203"/>
      <c r="I153" s="203"/>
      <c r="J153" s="30" t="s">
        <v>114</v>
      </c>
      <c r="K153" s="43" t="s">
        <v>114</v>
      </c>
    </row>
    <row r="154" spans="2:11">
      <c r="B154" s="29"/>
      <c r="C154" s="203" t="s">
        <v>166</v>
      </c>
      <c r="D154" s="203"/>
      <c r="E154" s="203"/>
      <c r="F154" s="203"/>
      <c r="G154" s="203"/>
      <c r="H154" s="203"/>
      <c r="I154" s="203"/>
      <c r="J154" s="68">
        <v>7.5999999999999998E-2</v>
      </c>
      <c r="K154" s="31">
        <f>($K$151/(1-$J$163))*J154</f>
        <v>473.47664763902264</v>
      </c>
    </row>
    <row r="155" spans="2:11">
      <c r="B155" s="29"/>
      <c r="C155" s="203" t="s">
        <v>167</v>
      </c>
      <c r="D155" s="203"/>
      <c r="E155" s="203"/>
      <c r="F155" s="203"/>
      <c r="G155" s="203"/>
      <c r="H155" s="203"/>
      <c r="I155" s="203"/>
      <c r="J155" s="68">
        <v>1.6500000000000001E-2</v>
      </c>
      <c r="K155" s="31">
        <f>($K$151/(1-$J$163))*J155</f>
        <v>102.79427218478781</v>
      </c>
    </row>
    <row r="156" spans="2:11">
      <c r="B156" s="29"/>
      <c r="C156" s="159" t="s">
        <v>168</v>
      </c>
      <c r="D156" s="159"/>
      <c r="E156" s="159"/>
      <c r="F156" s="159"/>
      <c r="G156" s="159"/>
      <c r="H156" s="159"/>
      <c r="I156" s="159"/>
      <c r="J156" s="69" t="s">
        <v>114</v>
      </c>
      <c r="K156" s="43" t="s">
        <v>114</v>
      </c>
    </row>
    <row r="157" spans="2:11">
      <c r="B157" s="29"/>
      <c r="C157" s="159" t="s">
        <v>169</v>
      </c>
      <c r="D157" s="159"/>
      <c r="E157" s="159"/>
      <c r="F157" s="159"/>
      <c r="G157" s="159"/>
      <c r="H157" s="159"/>
      <c r="I157" s="159"/>
      <c r="J157" s="69" t="s">
        <v>114</v>
      </c>
      <c r="K157" s="43" t="s">
        <v>114</v>
      </c>
    </row>
    <row r="158" spans="2:11">
      <c r="B158" s="29"/>
      <c r="C158" s="203" t="s">
        <v>170</v>
      </c>
      <c r="D158" s="203"/>
      <c r="E158" s="203"/>
      <c r="F158" s="203"/>
      <c r="G158" s="203"/>
      <c r="H158" s="203"/>
      <c r="I158" s="203"/>
      <c r="J158" s="69" t="s">
        <v>114</v>
      </c>
      <c r="K158" s="43" t="s">
        <v>114</v>
      </c>
    </row>
    <row r="159" spans="2:11">
      <c r="B159" s="29"/>
      <c r="C159" s="203" t="s">
        <v>171</v>
      </c>
      <c r="D159" s="203"/>
      <c r="E159" s="203"/>
      <c r="F159" s="203"/>
      <c r="G159" s="203"/>
      <c r="H159" s="203"/>
      <c r="I159" s="203"/>
      <c r="J159" s="69" t="s">
        <v>114</v>
      </c>
      <c r="K159" s="43" t="s">
        <v>114</v>
      </c>
    </row>
    <row r="160" spans="2:11">
      <c r="B160" s="29"/>
      <c r="C160" s="203" t="s">
        <v>172</v>
      </c>
      <c r="D160" s="203"/>
      <c r="E160" s="203"/>
      <c r="F160" s="203"/>
      <c r="G160" s="203"/>
      <c r="H160" s="203"/>
      <c r="I160" s="203"/>
      <c r="J160" s="70">
        <v>0.03</v>
      </c>
      <c r="K160" s="31">
        <f>($K$151/(1-$J$163))*J160</f>
        <v>186.89867669961419</v>
      </c>
    </row>
    <row r="161" spans="2:11">
      <c r="B161" s="188" t="s">
        <v>88</v>
      </c>
      <c r="C161" s="188"/>
      <c r="D161" s="188"/>
      <c r="E161" s="188"/>
      <c r="F161" s="188"/>
      <c r="G161" s="188"/>
      <c r="H161" s="188"/>
      <c r="I161" s="188"/>
      <c r="J161" s="188"/>
      <c r="K161" s="35">
        <f>SUM(K148+K150+K154+K155+K160)</f>
        <v>1496.8075839579492</v>
      </c>
    </row>
    <row r="162" spans="2:11">
      <c r="B162" s="186"/>
      <c r="C162" s="186"/>
      <c r="D162" s="186"/>
      <c r="E162" s="186"/>
      <c r="F162" s="186"/>
      <c r="G162" s="186"/>
      <c r="H162" s="186"/>
      <c r="I162" s="186"/>
      <c r="J162" s="186"/>
      <c r="K162" s="186"/>
    </row>
    <row r="163" spans="2:11">
      <c r="B163" s="211" t="s">
        <v>173</v>
      </c>
      <c r="C163" s="211"/>
      <c r="D163" s="211"/>
      <c r="E163" s="211"/>
      <c r="F163" s="211"/>
      <c r="G163" s="211"/>
      <c r="H163" s="211"/>
      <c r="I163" s="211"/>
      <c r="J163" s="71">
        <f>SUM(J154:J160)</f>
        <v>0.1225</v>
      </c>
      <c r="K163" s="72">
        <f>SUM(K154:K160)</f>
        <v>763.16959652342462</v>
      </c>
    </row>
    <row r="164" spans="2:11">
      <c r="B164" s="212" t="s">
        <v>174</v>
      </c>
      <c r="C164" s="212"/>
      <c r="D164" s="212"/>
      <c r="E164" s="213" t="s">
        <v>175</v>
      </c>
      <c r="F164" s="213"/>
      <c r="G164" s="213"/>
      <c r="H164" s="213"/>
      <c r="I164" s="213"/>
      <c r="J164" s="213"/>
      <c r="K164" s="213"/>
    </row>
    <row r="165" spans="2:11">
      <c r="B165" s="212"/>
      <c r="C165" s="212"/>
      <c r="D165" s="212"/>
      <c r="E165" s="213" t="s">
        <v>176</v>
      </c>
      <c r="F165" s="213"/>
      <c r="G165" s="213"/>
      <c r="H165" s="213"/>
      <c r="I165" s="213"/>
      <c r="J165" s="213"/>
      <c r="K165" s="213"/>
    </row>
    <row r="166" spans="2:11">
      <c r="B166" s="212"/>
      <c r="C166" s="212"/>
      <c r="D166" s="212"/>
      <c r="E166" s="213" t="s">
        <v>177</v>
      </c>
      <c r="F166" s="213"/>
      <c r="G166" s="213"/>
      <c r="H166" s="213"/>
      <c r="I166" s="213"/>
      <c r="J166" s="213"/>
      <c r="K166" s="213"/>
    </row>
    <row r="167" spans="2:11">
      <c r="B167" s="186"/>
      <c r="C167" s="186"/>
      <c r="D167" s="186"/>
      <c r="E167" s="186"/>
      <c r="F167" s="186"/>
      <c r="G167" s="186"/>
      <c r="H167" s="186"/>
      <c r="I167" s="186"/>
      <c r="J167" s="186"/>
      <c r="K167" s="186"/>
    </row>
    <row r="168" spans="2:11" ht="15.6">
      <c r="B168" s="214" t="s">
        <v>178</v>
      </c>
      <c r="C168" s="214"/>
      <c r="D168" s="214"/>
      <c r="E168" s="214"/>
      <c r="F168" s="214"/>
      <c r="G168" s="214"/>
      <c r="H168" s="214"/>
      <c r="I168" s="214"/>
      <c r="J168" s="214"/>
      <c r="K168" s="214"/>
    </row>
    <row r="169" spans="2:11">
      <c r="B169" s="215" t="s">
        <v>179</v>
      </c>
      <c r="C169" s="215"/>
      <c r="D169" s="215"/>
      <c r="E169" s="215"/>
      <c r="F169" s="215"/>
      <c r="G169" s="215"/>
      <c r="H169" s="215"/>
      <c r="I169" s="215"/>
      <c r="J169" s="215"/>
      <c r="K169" s="15" t="s">
        <v>85</v>
      </c>
    </row>
    <row r="170" spans="2:11">
      <c r="B170" s="73" t="s">
        <v>7</v>
      </c>
      <c r="C170" s="216" t="s">
        <v>180</v>
      </c>
      <c r="D170" s="216"/>
      <c r="E170" s="216"/>
      <c r="F170" s="216"/>
      <c r="G170" s="216"/>
      <c r="H170" s="216"/>
      <c r="I170" s="216"/>
      <c r="J170" s="216"/>
      <c r="K170" s="49">
        <f>K59</f>
        <v>1848.6100000000001</v>
      </c>
    </row>
    <row r="171" spans="2:11">
      <c r="B171" s="73" t="s">
        <v>9</v>
      </c>
      <c r="C171" s="216" t="s">
        <v>81</v>
      </c>
      <c r="D171" s="216"/>
      <c r="E171" s="216"/>
      <c r="F171" s="216"/>
      <c r="G171" s="216"/>
      <c r="H171" s="216"/>
      <c r="I171" s="216"/>
      <c r="J171" s="216"/>
      <c r="K171" s="49">
        <f>K100</f>
        <v>1503.4149024040003</v>
      </c>
    </row>
    <row r="172" spans="2:11">
      <c r="B172" s="73" t="s">
        <v>12</v>
      </c>
      <c r="C172" s="216" t="s">
        <v>181</v>
      </c>
      <c r="D172" s="216"/>
      <c r="E172" s="216"/>
      <c r="F172" s="216"/>
      <c r="G172" s="216"/>
      <c r="H172" s="216"/>
      <c r="I172" s="216"/>
      <c r="J172" s="216"/>
      <c r="K172" s="49">
        <f>K109</f>
        <v>85.782514853424999</v>
      </c>
    </row>
    <row r="173" spans="2:11">
      <c r="B173" s="73" t="s">
        <v>15</v>
      </c>
      <c r="C173" s="216" t="s">
        <v>182</v>
      </c>
      <c r="D173" s="216"/>
      <c r="E173" s="216"/>
      <c r="F173" s="216"/>
      <c r="G173" s="216"/>
      <c r="H173" s="216"/>
      <c r="I173" s="216"/>
      <c r="J173" s="216"/>
      <c r="K173" s="49">
        <f>K135</f>
        <v>243.66515729028362</v>
      </c>
    </row>
    <row r="174" spans="2:11">
      <c r="B174" s="73" t="s">
        <v>101</v>
      </c>
      <c r="C174" s="216" t="s">
        <v>183</v>
      </c>
      <c r="D174" s="216"/>
      <c r="E174" s="216"/>
      <c r="F174" s="216"/>
      <c r="G174" s="216"/>
      <c r="H174" s="216"/>
      <c r="I174" s="216"/>
      <c r="J174" s="216"/>
      <c r="K174" s="49">
        <f>K143</f>
        <v>1051.6757314814815</v>
      </c>
    </row>
    <row r="175" spans="2:11">
      <c r="B175" s="217" t="s">
        <v>184</v>
      </c>
      <c r="C175" s="217"/>
      <c r="D175" s="217"/>
      <c r="E175" s="217"/>
      <c r="F175" s="217"/>
      <c r="G175" s="217"/>
      <c r="H175" s="217"/>
      <c r="I175" s="217"/>
      <c r="J175" s="217"/>
      <c r="K175" s="50">
        <f>SUM(K170:K174)</f>
        <v>4733.1483060291903</v>
      </c>
    </row>
    <row r="176" spans="2:11">
      <c r="B176" s="73" t="s">
        <v>103</v>
      </c>
      <c r="C176" s="216" t="s">
        <v>185</v>
      </c>
      <c r="D176" s="216"/>
      <c r="E176" s="216"/>
      <c r="F176" s="216"/>
      <c r="G176" s="216"/>
      <c r="H176" s="216"/>
      <c r="I176" s="216"/>
      <c r="J176" s="216"/>
      <c r="K176" s="49">
        <f>K161</f>
        <v>1496.8075839579492</v>
      </c>
    </row>
    <row r="177" spans="2:11">
      <c r="B177" s="217" t="s">
        <v>186</v>
      </c>
      <c r="C177" s="217"/>
      <c r="D177" s="217"/>
      <c r="E177" s="217"/>
      <c r="F177" s="217"/>
      <c r="G177" s="217"/>
      <c r="H177" s="217"/>
      <c r="I177" s="217"/>
      <c r="J177" s="217"/>
      <c r="K177" s="50">
        <f>SUM(K175:K176)</f>
        <v>6229.955889987139</v>
      </c>
    </row>
    <row r="178" spans="2:11" ht="15.6">
      <c r="B178" s="218" t="s">
        <v>187</v>
      </c>
      <c r="C178" s="218"/>
      <c r="D178" s="218"/>
      <c r="E178" s="218"/>
      <c r="F178" s="218"/>
      <c r="G178" s="218"/>
      <c r="H178" s="218"/>
      <c r="I178" s="218"/>
      <c r="J178" s="218"/>
      <c r="K178" s="218"/>
    </row>
    <row r="179" spans="2:11">
      <c r="B179" s="159" t="s">
        <v>188</v>
      </c>
      <c r="C179" s="159"/>
      <c r="D179" s="159"/>
      <c r="E179" s="159"/>
      <c r="F179" s="159"/>
      <c r="G179" s="159"/>
      <c r="H179" s="159"/>
      <c r="I179" s="159"/>
      <c r="J179" s="159"/>
      <c r="K179" s="159"/>
    </row>
    <row r="180" spans="2:11">
      <c r="B180" s="219" t="s">
        <v>189</v>
      </c>
      <c r="C180" s="219"/>
      <c r="D180" s="219"/>
      <c r="E180" s="219" t="s">
        <v>190</v>
      </c>
      <c r="F180" s="219"/>
      <c r="G180" s="219"/>
      <c r="H180" s="179" t="s">
        <v>191</v>
      </c>
      <c r="I180" s="179"/>
      <c r="J180" s="179" t="s">
        <v>192</v>
      </c>
      <c r="K180" s="179"/>
    </row>
    <row r="181" spans="2:11">
      <c r="B181" s="180" t="s">
        <v>193</v>
      </c>
      <c r="C181" s="180"/>
      <c r="D181" s="180"/>
      <c r="E181" s="75">
        <v>1</v>
      </c>
      <c r="F181" s="65">
        <v>30</v>
      </c>
      <c r="G181" s="76">
        <f>F182</f>
        <v>1200</v>
      </c>
      <c r="H181" s="220">
        <v>0</v>
      </c>
      <c r="I181" s="220"/>
      <c r="J181" s="221">
        <f>ROUND((E181/F181*G181)*H181,2)</f>
        <v>0</v>
      </c>
      <c r="K181" s="221"/>
    </row>
    <row r="182" spans="2:11">
      <c r="B182" s="180" t="s">
        <v>194</v>
      </c>
      <c r="C182" s="180"/>
      <c r="D182" s="180"/>
      <c r="E182" s="75">
        <v>1</v>
      </c>
      <c r="F182" s="222">
        <v>1200</v>
      </c>
      <c r="G182" s="222"/>
      <c r="H182" s="220">
        <f>K177</f>
        <v>6229.955889987139</v>
      </c>
      <c r="I182" s="220"/>
      <c r="J182" s="221">
        <f>(E182/F182)*H182</f>
        <v>5.1916299083226161</v>
      </c>
      <c r="K182" s="221"/>
    </row>
    <row r="183" spans="2:11">
      <c r="B183" s="191" t="s">
        <v>195</v>
      </c>
      <c r="C183" s="191"/>
      <c r="D183" s="191"/>
      <c r="E183" s="191"/>
      <c r="F183" s="191"/>
      <c r="G183" s="191"/>
      <c r="H183" s="191"/>
      <c r="I183" s="191"/>
      <c r="J183" s="221">
        <f>SUM(J181+J182)</f>
        <v>5.1916299083226161</v>
      </c>
      <c r="K183" s="221"/>
    </row>
    <row r="184" spans="2:11">
      <c r="B184" s="223"/>
      <c r="C184" s="223"/>
      <c r="D184" s="223"/>
      <c r="E184" s="223"/>
      <c r="F184" s="223"/>
      <c r="G184" s="223"/>
      <c r="H184" s="223"/>
      <c r="I184" s="223"/>
      <c r="J184" s="223"/>
      <c r="K184" s="223"/>
    </row>
    <row r="185" spans="2:11">
      <c r="B185" s="180" t="s">
        <v>196</v>
      </c>
      <c r="C185" s="180"/>
      <c r="D185" s="180"/>
      <c r="E185" s="75">
        <v>1</v>
      </c>
      <c r="F185" s="65">
        <v>30</v>
      </c>
      <c r="G185" s="76">
        <f>F186</f>
        <v>1200</v>
      </c>
      <c r="H185" s="220">
        <v>0</v>
      </c>
      <c r="I185" s="220"/>
      <c r="J185" s="221">
        <f>ROUND((E185/F185*G185)*H185,2)</f>
        <v>0</v>
      </c>
      <c r="K185" s="221"/>
    </row>
    <row r="186" spans="2:11">
      <c r="B186" s="180" t="s">
        <v>197</v>
      </c>
      <c r="C186" s="180"/>
      <c r="D186" s="180"/>
      <c r="E186" s="75">
        <v>1</v>
      </c>
      <c r="F186" s="222">
        <v>1200</v>
      </c>
      <c r="G186" s="222"/>
      <c r="H186" s="220">
        <f>K177</f>
        <v>6229.955889987139</v>
      </c>
      <c r="I186" s="220"/>
      <c r="J186" s="221">
        <f>(E186/F186)*H186</f>
        <v>5.1916299083226161</v>
      </c>
      <c r="K186" s="221"/>
    </row>
    <row r="187" spans="2:11">
      <c r="B187" s="191" t="s">
        <v>195</v>
      </c>
      <c r="C187" s="191"/>
      <c r="D187" s="191"/>
      <c r="E187" s="191"/>
      <c r="F187" s="191"/>
      <c r="G187" s="191"/>
      <c r="H187" s="191"/>
      <c r="I187" s="191"/>
      <c r="J187" s="221">
        <f>SUM(J185+J186)</f>
        <v>5.1916299083226161</v>
      </c>
      <c r="K187" s="221"/>
    </row>
    <row r="188" spans="2:11">
      <c r="B188" s="223"/>
      <c r="C188" s="223"/>
      <c r="D188" s="223"/>
      <c r="E188" s="223"/>
      <c r="F188" s="223"/>
      <c r="G188" s="223"/>
      <c r="H188" s="223"/>
      <c r="I188" s="223"/>
      <c r="J188" s="223"/>
      <c r="K188" s="223"/>
    </row>
    <row r="189" spans="2:11">
      <c r="B189" s="224" t="s">
        <v>198</v>
      </c>
      <c r="C189" s="224"/>
      <c r="D189" s="224"/>
      <c r="E189" s="2">
        <v>1</v>
      </c>
      <c r="F189" s="2">
        <v>30</v>
      </c>
      <c r="G189" s="77">
        <f>F190</f>
        <v>450</v>
      </c>
      <c r="H189" s="225">
        <v>0</v>
      </c>
      <c r="I189" s="225"/>
      <c r="J189" s="221">
        <f>ROUND((E189/F189*G189)*H189,2)</f>
        <v>0</v>
      </c>
      <c r="K189" s="221"/>
    </row>
    <row r="190" spans="2:11">
      <c r="B190" s="224" t="s">
        <v>199</v>
      </c>
      <c r="C190" s="224"/>
      <c r="D190" s="224"/>
      <c r="E190" s="78">
        <v>1</v>
      </c>
      <c r="F190" s="226">
        <v>450</v>
      </c>
      <c r="G190" s="226"/>
      <c r="H190" s="225">
        <f>K177</f>
        <v>6229.955889987139</v>
      </c>
      <c r="I190" s="225"/>
      <c r="J190" s="221">
        <f>(E190/F190)*H190</f>
        <v>13.844346422193642</v>
      </c>
      <c r="K190" s="221"/>
    </row>
    <row r="191" spans="2:11">
      <c r="B191" s="191" t="s">
        <v>195</v>
      </c>
      <c r="C191" s="191"/>
      <c r="D191" s="191"/>
      <c r="E191" s="191"/>
      <c r="F191" s="191"/>
      <c r="G191" s="191"/>
      <c r="H191" s="191"/>
      <c r="I191" s="191"/>
      <c r="J191" s="221">
        <f>SUM(J189+J190)</f>
        <v>13.844346422193642</v>
      </c>
      <c r="K191" s="221"/>
    </row>
    <row r="192" spans="2:11">
      <c r="B192" s="223"/>
      <c r="C192" s="223"/>
      <c r="D192" s="223"/>
      <c r="E192" s="223"/>
      <c r="F192" s="223"/>
      <c r="G192" s="223"/>
      <c r="H192" s="223"/>
      <c r="I192" s="223"/>
      <c r="J192" s="223"/>
      <c r="K192" s="223"/>
    </row>
    <row r="193" spans="2:11">
      <c r="B193" s="224" t="s">
        <v>200</v>
      </c>
      <c r="C193" s="224"/>
      <c r="D193" s="224"/>
      <c r="E193" s="2">
        <v>1</v>
      </c>
      <c r="F193" s="2">
        <v>30</v>
      </c>
      <c r="G193" s="77">
        <f>F194</f>
        <v>2500</v>
      </c>
      <c r="H193" s="225">
        <v>0</v>
      </c>
      <c r="I193" s="225"/>
      <c r="J193" s="221">
        <f>ROUND((E193/F193*G193)*H193,2)</f>
        <v>0</v>
      </c>
      <c r="K193" s="221"/>
    </row>
    <row r="194" spans="2:11">
      <c r="B194" s="224" t="s">
        <v>201</v>
      </c>
      <c r="C194" s="224"/>
      <c r="D194" s="224"/>
      <c r="E194" s="78">
        <v>1</v>
      </c>
      <c r="F194" s="226">
        <v>2500</v>
      </c>
      <c r="G194" s="226"/>
      <c r="H194" s="225">
        <f>K177</f>
        <v>6229.955889987139</v>
      </c>
      <c r="I194" s="225"/>
      <c r="J194" s="221">
        <f>(E194/F194)*H194</f>
        <v>2.4919823559948555</v>
      </c>
      <c r="K194" s="221"/>
    </row>
    <row r="195" spans="2:11">
      <c r="B195" s="191" t="s">
        <v>195</v>
      </c>
      <c r="C195" s="191"/>
      <c r="D195" s="191"/>
      <c r="E195" s="191"/>
      <c r="F195" s="191"/>
      <c r="G195" s="191"/>
      <c r="H195" s="191"/>
      <c r="I195" s="191"/>
      <c r="J195" s="221">
        <f>SUM(J193+J194)</f>
        <v>2.4919823559948555</v>
      </c>
      <c r="K195" s="221"/>
    </row>
    <row r="196" spans="2:11">
      <c r="B196" s="223"/>
      <c r="C196" s="223"/>
      <c r="D196" s="223"/>
      <c r="E196" s="223"/>
      <c r="F196" s="223"/>
      <c r="G196" s="223"/>
      <c r="H196" s="223"/>
      <c r="I196" s="223"/>
      <c r="J196" s="223"/>
      <c r="K196" s="223"/>
    </row>
    <row r="197" spans="2:11">
      <c r="B197" s="180" t="s">
        <v>202</v>
      </c>
      <c r="C197" s="180"/>
      <c r="D197" s="180"/>
      <c r="E197" s="65">
        <v>1</v>
      </c>
      <c r="F197" s="65">
        <v>30</v>
      </c>
      <c r="G197" s="76">
        <f>F198</f>
        <v>1500</v>
      </c>
      <c r="H197" s="220">
        <v>0</v>
      </c>
      <c r="I197" s="220"/>
      <c r="J197" s="221">
        <f>ROUND((E197/F197*G197)*H197,2)</f>
        <v>0</v>
      </c>
      <c r="K197" s="221"/>
    </row>
    <row r="198" spans="2:11">
      <c r="B198" s="180" t="s">
        <v>203</v>
      </c>
      <c r="C198" s="180"/>
      <c r="D198" s="180"/>
      <c r="E198" s="65">
        <v>1</v>
      </c>
      <c r="F198" s="222">
        <v>1500</v>
      </c>
      <c r="G198" s="222"/>
      <c r="H198" s="225">
        <f>K177</f>
        <v>6229.955889987139</v>
      </c>
      <c r="I198" s="225"/>
      <c r="J198" s="221">
        <f>(E198/F198)*H198</f>
        <v>4.1533039266580927</v>
      </c>
      <c r="K198" s="221"/>
    </row>
    <row r="199" spans="2:11">
      <c r="B199" s="191" t="s">
        <v>195</v>
      </c>
      <c r="C199" s="191"/>
      <c r="D199" s="191"/>
      <c r="E199" s="191"/>
      <c r="F199" s="191"/>
      <c r="G199" s="191"/>
      <c r="H199" s="191"/>
      <c r="I199" s="191"/>
      <c r="J199" s="221">
        <f>SUM(J197+J198)</f>
        <v>4.1533039266580927</v>
      </c>
      <c r="K199" s="221"/>
    </row>
    <row r="200" spans="2:11">
      <c r="B200" s="223"/>
      <c r="C200" s="223"/>
      <c r="D200" s="223"/>
      <c r="E200" s="223"/>
      <c r="F200" s="223"/>
      <c r="G200" s="223"/>
      <c r="H200" s="223"/>
      <c r="I200" s="223"/>
      <c r="J200" s="223"/>
      <c r="K200" s="223"/>
    </row>
    <row r="201" spans="2:11">
      <c r="B201" s="180" t="s">
        <v>204</v>
      </c>
      <c r="C201" s="180"/>
      <c r="D201" s="180"/>
      <c r="E201" s="2">
        <v>1</v>
      </c>
      <c r="F201" s="2">
        <v>30</v>
      </c>
      <c r="G201" s="77">
        <f>F202</f>
        <v>300</v>
      </c>
      <c r="H201" s="225">
        <v>0</v>
      </c>
      <c r="I201" s="225"/>
      <c r="J201" s="221">
        <f>ROUND((E201/F201*G201)*H201,2)</f>
        <v>0</v>
      </c>
      <c r="K201" s="221"/>
    </row>
    <row r="202" spans="2:11">
      <c r="B202" s="180" t="s">
        <v>205</v>
      </c>
      <c r="C202" s="180"/>
      <c r="D202" s="180"/>
      <c r="E202" s="2">
        <v>1</v>
      </c>
      <c r="F202" s="226">
        <v>300</v>
      </c>
      <c r="G202" s="226"/>
      <c r="H202" s="225">
        <f>K177</f>
        <v>6229.955889987139</v>
      </c>
      <c r="I202" s="225"/>
      <c r="J202" s="221">
        <f>((E202/F202)*H202)</f>
        <v>20.766519633290464</v>
      </c>
      <c r="K202" s="221"/>
    </row>
    <row r="203" spans="2:11">
      <c r="B203" s="227" t="s">
        <v>195</v>
      </c>
      <c r="C203" s="227"/>
      <c r="D203" s="227"/>
      <c r="E203" s="227"/>
      <c r="F203" s="227"/>
      <c r="G203" s="227"/>
      <c r="H203" s="227"/>
      <c r="I203" s="227"/>
      <c r="J203" s="221">
        <f>SUM(J201+J202)</f>
        <v>20.766519633290464</v>
      </c>
      <c r="K203" s="221"/>
    </row>
    <row r="204" spans="2:11">
      <c r="B204" s="223"/>
      <c r="C204" s="223"/>
      <c r="D204" s="223"/>
      <c r="E204" s="223"/>
      <c r="F204" s="223"/>
      <c r="G204" s="223"/>
      <c r="H204" s="223"/>
      <c r="I204" s="223"/>
      <c r="J204" s="223"/>
      <c r="K204" s="223"/>
    </row>
    <row r="205" spans="2:11">
      <c r="B205" s="180" t="s">
        <v>206</v>
      </c>
      <c r="C205" s="180"/>
      <c r="D205" s="180"/>
      <c r="E205" s="79">
        <v>1</v>
      </c>
      <c r="F205" s="79" t="s">
        <v>207</v>
      </c>
      <c r="G205" s="76">
        <f>F206</f>
        <v>9000</v>
      </c>
      <c r="H205" s="220">
        <v>0</v>
      </c>
      <c r="I205" s="220"/>
      <c r="J205" s="228">
        <v>0</v>
      </c>
      <c r="K205" s="228"/>
    </row>
    <row r="206" spans="2:11">
      <c r="B206" s="180" t="s">
        <v>208</v>
      </c>
      <c r="C206" s="180"/>
      <c r="D206" s="180"/>
      <c r="E206" s="79">
        <v>1</v>
      </c>
      <c r="F206" s="222">
        <v>9000</v>
      </c>
      <c r="G206" s="222"/>
      <c r="H206" s="220">
        <f>K177</f>
        <v>6229.955889987139</v>
      </c>
      <c r="I206" s="220"/>
      <c r="J206" s="228">
        <f>(E206/F206)*H206</f>
        <v>0.69221732110968215</v>
      </c>
      <c r="K206" s="228"/>
    </row>
    <row r="207" spans="2:11">
      <c r="B207" s="191" t="s">
        <v>195</v>
      </c>
      <c r="C207" s="191"/>
      <c r="D207" s="191"/>
      <c r="E207" s="191"/>
      <c r="F207" s="191"/>
      <c r="G207" s="191"/>
      <c r="H207" s="191"/>
      <c r="I207" s="191"/>
      <c r="J207" s="228">
        <f>SUM(J205+J206)</f>
        <v>0.69221732110968215</v>
      </c>
      <c r="K207" s="228"/>
    </row>
    <row r="208" spans="2:11">
      <c r="B208" s="229"/>
      <c r="C208" s="229"/>
      <c r="D208" s="229"/>
      <c r="E208" s="229"/>
      <c r="F208" s="229"/>
      <c r="G208" s="229"/>
      <c r="H208" s="229"/>
      <c r="I208" s="229"/>
      <c r="J208" s="229"/>
      <c r="K208" s="229"/>
    </row>
    <row r="209" spans="2:14">
      <c r="B209" s="180" t="s">
        <v>209</v>
      </c>
      <c r="C209" s="180"/>
      <c r="D209" s="180"/>
      <c r="E209" s="79">
        <v>1</v>
      </c>
      <c r="F209" s="79" t="s">
        <v>207</v>
      </c>
      <c r="G209" s="76">
        <v>1800</v>
      </c>
      <c r="H209" s="220">
        <v>0</v>
      </c>
      <c r="I209" s="220"/>
      <c r="J209" s="228">
        <v>0</v>
      </c>
      <c r="K209" s="228"/>
    </row>
    <row r="210" spans="2:14">
      <c r="B210" s="180" t="s">
        <v>210</v>
      </c>
      <c r="C210" s="180"/>
      <c r="D210" s="180"/>
      <c r="E210" s="79">
        <v>1</v>
      </c>
      <c r="F210" s="222">
        <v>1800</v>
      </c>
      <c r="G210" s="222"/>
      <c r="H210" s="220">
        <f>K177</f>
        <v>6229.955889987139</v>
      </c>
      <c r="I210" s="220"/>
      <c r="J210" s="228">
        <f>(E210/F210)*H210</f>
        <v>3.4610866055484104</v>
      </c>
      <c r="K210" s="228"/>
    </row>
    <row r="211" spans="2:14">
      <c r="B211" s="191" t="s">
        <v>195</v>
      </c>
      <c r="C211" s="191"/>
      <c r="D211" s="191"/>
      <c r="E211" s="191"/>
      <c r="F211" s="191"/>
      <c r="G211" s="191"/>
      <c r="H211" s="191"/>
      <c r="I211" s="191"/>
      <c r="J211" s="228">
        <f>SUM(J209+J210)</f>
        <v>3.4610866055484104</v>
      </c>
      <c r="K211" s="228"/>
    </row>
    <row r="212" spans="2:14">
      <c r="B212" s="229"/>
      <c r="C212" s="229"/>
      <c r="D212" s="229"/>
      <c r="E212" s="229"/>
      <c r="F212" s="229"/>
      <c r="G212" s="229"/>
      <c r="H212" s="229"/>
      <c r="I212" s="229"/>
      <c r="J212" s="229"/>
      <c r="K212" s="229"/>
    </row>
    <row r="213" spans="2:14">
      <c r="B213" s="230" t="s">
        <v>211</v>
      </c>
      <c r="C213" s="230"/>
      <c r="D213" s="230"/>
      <c r="E213" s="79">
        <v>1</v>
      </c>
      <c r="F213" s="79" t="s">
        <v>212</v>
      </c>
      <c r="G213" s="76">
        <v>2700</v>
      </c>
      <c r="H213" s="231">
        <v>0</v>
      </c>
      <c r="I213" s="231"/>
      <c r="J213" s="228">
        <v>0</v>
      </c>
      <c r="K213" s="228"/>
    </row>
    <row r="214" spans="2:14">
      <c r="B214" s="230" t="s">
        <v>213</v>
      </c>
      <c r="C214" s="230"/>
      <c r="D214" s="230"/>
      <c r="E214" s="79">
        <v>1</v>
      </c>
      <c r="F214" s="222">
        <v>2700</v>
      </c>
      <c r="G214" s="222"/>
      <c r="H214" s="231">
        <f>K177</f>
        <v>6229.955889987139</v>
      </c>
      <c r="I214" s="231"/>
      <c r="J214" s="228">
        <f>(E214/F214)*H214</f>
        <v>2.3073910703656071</v>
      </c>
      <c r="K214" s="228"/>
    </row>
    <row r="215" spans="2:14">
      <c r="B215" s="191" t="s">
        <v>195</v>
      </c>
      <c r="C215" s="191"/>
      <c r="D215" s="191"/>
      <c r="E215" s="191"/>
      <c r="F215" s="191"/>
      <c r="G215" s="191"/>
      <c r="H215" s="191"/>
      <c r="I215" s="191"/>
      <c r="J215" s="228">
        <f>SUM(J213+J214)</f>
        <v>2.3073910703656071</v>
      </c>
      <c r="K215" s="228"/>
    </row>
    <row r="216" spans="2:14">
      <c r="B216" s="232"/>
      <c r="C216" s="232"/>
      <c r="D216" s="232"/>
      <c r="E216" s="232"/>
      <c r="F216" s="232"/>
      <c r="G216" s="232"/>
      <c r="H216" s="232"/>
      <c r="I216" s="232"/>
      <c r="J216" s="232"/>
      <c r="K216" s="232"/>
    </row>
    <row r="217" spans="2:14" ht="66">
      <c r="B217" s="74" t="s">
        <v>214</v>
      </c>
      <c r="C217" s="219" t="s">
        <v>215</v>
      </c>
      <c r="D217" s="219"/>
      <c r="E217" s="219"/>
      <c r="F217" s="81" t="s">
        <v>216</v>
      </c>
      <c r="G217" s="233" t="s">
        <v>217</v>
      </c>
      <c r="H217" s="233"/>
      <c r="I217" s="81" t="s">
        <v>218</v>
      </c>
      <c r="J217" s="81" t="s">
        <v>219</v>
      </c>
      <c r="K217" s="81" t="s">
        <v>220</v>
      </c>
    </row>
    <row r="218" spans="2:14">
      <c r="B218" s="234"/>
      <c r="C218" s="234"/>
      <c r="D218" s="234"/>
      <c r="E218" s="234"/>
      <c r="F218" s="234"/>
      <c r="G218" s="234"/>
      <c r="H218" s="234"/>
      <c r="I218" s="234"/>
      <c r="J218" s="234"/>
      <c r="K218" s="234"/>
    </row>
    <row r="219" spans="2:14" ht="52.8">
      <c r="B219" s="82" t="s">
        <v>221</v>
      </c>
      <c r="C219" s="83">
        <v>1</v>
      </c>
      <c r="D219" s="235" t="s">
        <v>222</v>
      </c>
      <c r="E219" s="235"/>
      <c r="F219" s="65">
        <v>8</v>
      </c>
      <c r="G219" s="84" t="s">
        <v>223</v>
      </c>
      <c r="H219" s="84" t="s">
        <v>224</v>
      </c>
      <c r="I219" s="85">
        <f>ROUND((C219/D219)*F219*(G219/H219),7)</f>
        <v>1.115E-4</v>
      </c>
      <c r="J219" s="86">
        <f>K177</f>
        <v>6229.955889987139</v>
      </c>
      <c r="K219" s="80">
        <f>I219*J219</f>
        <v>0.69464008173356595</v>
      </c>
      <c r="N219">
        <v>500</v>
      </c>
    </row>
    <row r="220" spans="2:14" ht="26.4">
      <c r="B220" s="82" t="s">
        <v>225</v>
      </c>
      <c r="C220" s="83">
        <v>1</v>
      </c>
      <c r="D220" s="236">
        <v>380</v>
      </c>
      <c r="E220" s="236"/>
      <c r="F220" s="65">
        <v>8</v>
      </c>
      <c r="G220" s="84" t="s">
        <v>223</v>
      </c>
      <c r="H220" s="84" t="s">
        <v>224</v>
      </c>
      <c r="I220" s="85">
        <f>ROUND((C220/D220)*F220*(G220/H220),7)</f>
        <v>1.115E-4</v>
      </c>
      <c r="J220" s="86">
        <f>K177</f>
        <v>6229.955889987139</v>
      </c>
      <c r="K220" s="80">
        <f>I220*J220</f>
        <v>0.69464008173356595</v>
      </c>
    </row>
    <row r="221" spans="2:14" ht="79.2">
      <c r="B221" s="74" t="s">
        <v>214</v>
      </c>
      <c r="C221" s="219" t="s">
        <v>215</v>
      </c>
      <c r="D221" s="219"/>
      <c r="E221" s="219"/>
      <c r="F221" s="81" t="s">
        <v>226</v>
      </c>
      <c r="G221" s="233" t="s">
        <v>227</v>
      </c>
      <c r="H221" s="233"/>
      <c r="I221" s="81" t="s">
        <v>218</v>
      </c>
      <c r="J221" s="81" t="s">
        <v>219</v>
      </c>
      <c r="K221" s="81" t="s">
        <v>220</v>
      </c>
    </row>
    <row r="222" spans="2:14">
      <c r="B222" s="234"/>
      <c r="C222" s="234"/>
      <c r="D222" s="234"/>
      <c r="E222" s="234"/>
      <c r="F222" s="234"/>
      <c r="G222" s="234"/>
      <c r="H222" s="234"/>
      <c r="I222" s="234"/>
      <c r="J222" s="234"/>
      <c r="K222" s="234"/>
    </row>
    <row r="223" spans="2:14" ht="52.8">
      <c r="B223" s="82" t="s">
        <v>228</v>
      </c>
      <c r="C223" s="83" t="s">
        <v>223</v>
      </c>
      <c r="D223" s="236">
        <v>160</v>
      </c>
      <c r="E223" s="236"/>
      <c r="F223" s="65">
        <f>8*6</f>
        <v>48</v>
      </c>
      <c r="G223" s="84" t="s">
        <v>223</v>
      </c>
      <c r="H223" s="84" t="s">
        <v>229</v>
      </c>
      <c r="I223" s="85">
        <f>ROUND((C223/D223)*F223*(G223/H223),7)</f>
        <v>2.6489999999999999E-4</v>
      </c>
      <c r="J223" s="86">
        <f>K177</f>
        <v>6229.955889987139</v>
      </c>
      <c r="K223" s="80">
        <f>I223*J223</f>
        <v>1.6503153152575931</v>
      </c>
      <c r="N223" s="142"/>
    </row>
    <row r="224" spans="2:14" ht="39.6">
      <c r="B224" s="82" t="s">
        <v>230</v>
      </c>
      <c r="C224" s="83">
        <v>1</v>
      </c>
      <c r="D224" s="236">
        <v>160</v>
      </c>
      <c r="E224" s="236"/>
      <c r="F224" s="65">
        <f>8*6</f>
        <v>48</v>
      </c>
      <c r="G224" s="84" t="s">
        <v>223</v>
      </c>
      <c r="H224" s="84" t="s">
        <v>229</v>
      </c>
      <c r="I224" s="85">
        <f>ROUND((C224/D224)*F224*(G224/H224),7)</f>
        <v>2.6489999999999999E-4</v>
      </c>
      <c r="J224" s="86">
        <f>K177</f>
        <v>6229.955889987139</v>
      </c>
      <c r="K224" s="80">
        <f>I224*J224</f>
        <v>1.6503153152575931</v>
      </c>
    </row>
    <row r="225" spans="2:11">
      <c r="B225" s="191" t="s">
        <v>195</v>
      </c>
      <c r="C225" s="191"/>
      <c r="D225" s="191"/>
      <c r="E225" s="191"/>
      <c r="F225" s="191"/>
      <c r="G225" s="191"/>
      <c r="H225" s="191"/>
      <c r="I225" s="191"/>
      <c r="J225" s="191"/>
      <c r="K225" s="80">
        <f>K224+K223+K220+K219</f>
        <v>4.6899107939823184</v>
      </c>
    </row>
    <row r="226" spans="2:11">
      <c r="B226" s="237"/>
      <c r="C226" s="237"/>
      <c r="D226" s="237"/>
      <c r="E226" s="237"/>
      <c r="F226" s="237"/>
      <c r="G226" s="237"/>
      <c r="H226" s="237"/>
      <c r="I226" s="237"/>
      <c r="J226" s="237"/>
      <c r="K226" s="237"/>
    </row>
    <row r="227" spans="2:11" ht="15.6">
      <c r="B227" s="210" t="s">
        <v>231</v>
      </c>
      <c r="C227" s="210"/>
      <c r="D227" s="210"/>
      <c r="E227" s="210"/>
      <c r="F227" s="210"/>
      <c r="G227" s="210"/>
      <c r="H227" s="210"/>
      <c r="I227" s="210"/>
      <c r="J227" s="210"/>
      <c r="K227" s="210"/>
    </row>
    <row r="228" spans="2:11" ht="26.4">
      <c r="B228" s="190" t="s">
        <v>232</v>
      </c>
      <c r="C228" s="190"/>
      <c r="D228" s="190"/>
      <c r="E228" s="190"/>
      <c r="F228" s="190"/>
      <c r="G228" s="179" t="s">
        <v>233</v>
      </c>
      <c r="H228" s="179"/>
      <c r="I228" s="15" t="s">
        <v>234</v>
      </c>
      <c r="J228" s="179" t="s">
        <v>235</v>
      </c>
      <c r="K228" s="179"/>
    </row>
    <row r="229" spans="2:11">
      <c r="B229" s="238" t="s">
        <v>37</v>
      </c>
      <c r="C229" s="238"/>
      <c r="D229" s="238"/>
      <c r="E229" s="238"/>
      <c r="F229" s="238"/>
      <c r="G229" s="239">
        <f>J183</f>
        <v>5.1916299083226161</v>
      </c>
      <c r="H229" s="239"/>
      <c r="I229" s="87">
        <f t="shared" ref="I229:I236" si="1">J13</f>
        <v>0</v>
      </c>
      <c r="J229" s="240">
        <f>ROUND(G229*I229,2)</f>
        <v>0</v>
      </c>
      <c r="K229" s="240"/>
    </row>
    <row r="230" spans="2:11">
      <c r="B230" s="238" t="s">
        <v>39</v>
      </c>
      <c r="C230" s="238"/>
      <c r="D230" s="238"/>
      <c r="E230" s="238"/>
      <c r="F230" s="238"/>
      <c r="G230" s="239">
        <f>J187</f>
        <v>5.1916299083226161</v>
      </c>
      <c r="H230" s="239"/>
      <c r="I230" s="87">
        <f t="shared" si="1"/>
        <v>3333.75</v>
      </c>
      <c r="J230" s="240">
        <f>G230*I230</f>
        <v>17307.596206870523</v>
      </c>
      <c r="K230" s="240"/>
    </row>
    <row r="231" spans="2:11">
      <c r="B231" s="238" t="s">
        <v>40</v>
      </c>
      <c r="C231" s="238"/>
      <c r="D231" s="238"/>
      <c r="E231" s="238"/>
      <c r="F231" s="238"/>
      <c r="G231" s="239">
        <f>J191</f>
        <v>13.844346422193642</v>
      </c>
      <c r="H231" s="239"/>
      <c r="I231" s="87">
        <f t="shared" si="1"/>
        <v>0</v>
      </c>
      <c r="J231" s="240">
        <f>ROUND(G231*I231,2)</f>
        <v>0</v>
      </c>
      <c r="K231" s="240"/>
    </row>
    <row r="232" spans="2:11">
      <c r="B232" s="238" t="s">
        <v>41</v>
      </c>
      <c r="C232" s="238"/>
      <c r="D232" s="238"/>
      <c r="E232" s="238"/>
      <c r="F232" s="238"/>
      <c r="G232" s="239">
        <f>J195</f>
        <v>2.4919823559948555</v>
      </c>
      <c r="H232" s="239"/>
      <c r="I232" s="87">
        <f t="shared" si="1"/>
        <v>17.149999999999999</v>
      </c>
      <c r="J232" s="240">
        <f>G232*I232</f>
        <v>42.737497405311771</v>
      </c>
      <c r="K232" s="240"/>
    </row>
    <row r="233" spans="2:11">
      <c r="B233" s="238" t="s">
        <v>42</v>
      </c>
      <c r="C233" s="238"/>
      <c r="D233" s="238"/>
      <c r="E233" s="238"/>
      <c r="F233" s="238"/>
      <c r="G233" s="241">
        <f>J211</f>
        <v>3.4610866055484104</v>
      </c>
      <c r="H233" s="241"/>
      <c r="I233" s="87">
        <f t="shared" si="1"/>
        <v>12.14</v>
      </c>
      <c r="J233" s="240">
        <f>G233*I233</f>
        <v>42.017591391357705</v>
      </c>
      <c r="K233" s="240"/>
    </row>
    <row r="234" spans="2:11">
      <c r="B234" s="238" t="s">
        <v>43</v>
      </c>
      <c r="C234" s="238"/>
      <c r="D234" s="238"/>
      <c r="E234" s="238"/>
      <c r="F234" s="238"/>
      <c r="G234" s="239">
        <f>J199</f>
        <v>4.1533039266580927</v>
      </c>
      <c r="H234" s="239"/>
      <c r="I234" s="87">
        <f t="shared" si="1"/>
        <v>1322.67</v>
      </c>
      <c r="J234" s="240">
        <f>G234*I234</f>
        <v>5493.45050467286</v>
      </c>
      <c r="K234" s="240"/>
    </row>
    <row r="235" spans="2:11">
      <c r="B235" s="238" t="s">
        <v>236</v>
      </c>
      <c r="C235" s="238"/>
      <c r="D235" s="238"/>
      <c r="E235" s="238"/>
      <c r="F235" s="238"/>
      <c r="G235" s="239">
        <f>J203</f>
        <v>20.766519633290464</v>
      </c>
      <c r="H235" s="239"/>
      <c r="I235" s="87">
        <f t="shared" si="1"/>
        <v>0</v>
      </c>
      <c r="J235" s="240">
        <f>ROUND(G235*I235,2)</f>
        <v>0</v>
      </c>
      <c r="K235" s="240"/>
    </row>
    <row r="236" spans="2:11">
      <c r="B236" s="242" t="s">
        <v>45</v>
      </c>
      <c r="C236" s="242"/>
      <c r="D236" s="242"/>
      <c r="E236" s="242"/>
      <c r="F236" s="242"/>
      <c r="G236" s="242"/>
      <c r="H236" s="242"/>
      <c r="I236" s="88">
        <f t="shared" si="1"/>
        <v>4685.71</v>
      </c>
      <c r="J236" s="243">
        <f>SUM(J229:J235)</f>
        <v>22885.801800340054</v>
      </c>
      <c r="K236" s="243"/>
    </row>
    <row r="237" spans="2:11">
      <c r="B237" s="244"/>
      <c r="C237" s="244"/>
      <c r="D237" s="244"/>
      <c r="E237" s="244"/>
      <c r="F237" s="244"/>
      <c r="G237" s="244"/>
      <c r="H237" s="244"/>
      <c r="I237" s="244"/>
      <c r="J237" s="244"/>
      <c r="K237" s="244"/>
    </row>
    <row r="238" spans="2:11">
      <c r="B238" s="245" t="s">
        <v>237</v>
      </c>
      <c r="C238" s="245"/>
      <c r="D238" s="245"/>
      <c r="E238" s="245"/>
      <c r="F238" s="245"/>
      <c r="G238" s="246">
        <f>J207</f>
        <v>0.69221732110968215</v>
      </c>
      <c r="H238" s="246"/>
      <c r="I238" s="89">
        <f>K23</f>
        <v>22.813012000000001</v>
      </c>
      <c r="J238" s="247">
        <f>G238*I238</f>
        <v>15.791562053083032</v>
      </c>
      <c r="K238" s="247"/>
    </row>
    <row r="239" spans="2:11">
      <c r="B239" s="159" t="s">
        <v>238</v>
      </c>
      <c r="C239" s="159"/>
      <c r="D239" s="159"/>
      <c r="E239" s="159"/>
      <c r="F239" s="159"/>
      <c r="G239" s="248">
        <f>J214</f>
        <v>2.3073910703656071</v>
      </c>
      <c r="H239" s="248"/>
      <c r="I239" s="89">
        <f>K25</f>
        <v>0</v>
      </c>
      <c r="J239" s="247">
        <f>G239*I239</f>
        <v>0</v>
      </c>
      <c r="K239" s="247"/>
    </row>
    <row r="240" spans="2:11">
      <c r="B240" s="242" t="s">
        <v>52</v>
      </c>
      <c r="C240" s="242"/>
      <c r="D240" s="242"/>
      <c r="E240" s="242"/>
      <c r="F240" s="242"/>
      <c r="G240" s="242"/>
      <c r="H240" s="242"/>
      <c r="I240" s="88">
        <f>K28</f>
        <v>230.84</v>
      </c>
      <c r="J240" s="243">
        <f>SUM(J238:J239)</f>
        <v>15.791562053083032</v>
      </c>
      <c r="K240" s="243"/>
    </row>
    <row r="241" spans="2:11">
      <c r="B241" s="237"/>
      <c r="C241" s="237"/>
      <c r="D241" s="237"/>
      <c r="E241" s="237"/>
      <c r="F241" s="237"/>
      <c r="G241" s="237"/>
      <c r="H241" s="237"/>
      <c r="I241" s="237"/>
      <c r="J241" s="237"/>
      <c r="K241" s="237"/>
    </row>
    <row r="242" spans="2:11">
      <c r="B242" s="238" t="s">
        <v>239</v>
      </c>
      <c r="C242" s="238"/>
      <c r="D242" s="238"/>
      <c r="E242" s="238"/>
      <c r="F242" s="238"/>
      <c r="G242" s="246">
        <f>K223</f>
        <v>1.6503153152575931</v>
      </c>
      <c r="H242" s="246"/>
      <c r="I242" s="90">
        <f>K30</f>
        <v>0</v>
      </c>
      <c r="J242" s="249">
        <f>G242*I242</f>
        <v>0</v>
      </c>
      <c r="K242" s="249"/>
    </row>
    <row r="243" spans="2:11">
      <c r="B243" s="159" t="s">
        <v>240</v>
      </c>
      <c r="C243" s="159"/>
      <c r="D243" s="159"/>
      <c r="E243" s="159"/>
      <c r="F243" s="159"/>
      <c r="G243" s="248">
        <f>K219</f>
        <v>0.69464008173356595</v>
      </c>
      <c r="H243" s="248"/>
      <c r="I243" s="90">
        <f>K31</f>
        <v>0</v>
      </c>
      <c r="J243" s="249">
        <f>G243*I243</f>
        <v>0</v>
      </c>
      <c r="K243" s="249"/>
    </row>
    <row r="244" spans="2:11">
      <c r="B244" s="159" t="s">
        <v>241</v>
      </c>
      <c r="C244" s="159"/>
      <c r="D244" s="159"/>
      <c r="E244" s="159"/>
      <c r="F244" s="159"/>
      <c r="G244" s="248">
        <f>K220</f>
        <v>0.69464008173356595</v>
      </c>
      <c r="H244" s="248"/>
      <c r="I244" s="90">
        <f>K32</f>
        <v>1783.74</v>
      </c>
      <c r="J244" s="249">
        <f>G244*I244</f>
        <v>1239.0572993914309</v>
      </c>
      <c r="K244" s="249"/>
    </row>
    <row r="245" spans="2:11">
      <c r="B245" s="238" t="s">
        <v>242</v>
      </c>
      <c r="C245" s="238"/>
      <c r="D245" s="238"/>
      <c r="E245" s="238"/>
      <c r="F245" s="238"/>
      <c r="G245" s="248">
        <f>K224</f>
        <v>1.6503153152575931</v>
      </c>
      <c r="H245" s="248"/>
      <c r="I245" s="90">
        <f>K35</f>
        <v>184.05</v>
      </c>
      <c r="J245" s="249">
        <f>G245*I245</f>
        <v>303.74053377316005</v>
      </c>
      <c r="K245" s="249"/>
    </row>
    <row r="246" spans="2:11">
      <c r="B246" s="242" t="s">
        <v>243</v>
      </c>
      <c r="C246" s="242"/>
      <c r="D246" s="242"/>
      <c r="E246" s="242"/>
      <c r="F246" s="242"/>
      <c r="G246" s="242"/>
      <c r="H246" s="242"/>
      <c r="I246" s="88">
        <f>SUM(I242:I245)</f>
        <v>1967.79</v>
      </c>
      <c r="J246" s="243">
        <f>SUM(J242:J245)</f>
        <v>1542.7978331645909</v>
      </c>
      <c r="K246" s="243"/>
    </row>
    <row r="247" spans="2:11">
      <c r="B247" s="234"/>
      <c r="C247" s="234"/>
      <c r="D247" s="234"/>
      <c r="E247" s="234"/>
      <c r="F247" s="234"/>
      <c r="G247" s="234"/>
      <c r="H247" s="234"/>
      <c r="I247" s="234"/>
      <c r="J247" s="234"/>
      <c r="K247" s="234"/>
    </row>
    <row r="248" spans="2:11">
      <c r="B248" s="238" t="s">
        <v>61</v>
      </c>
      <c r="C248" s="238"/>
      <c r="D248" s="238"/>
      <c r="E248" s="238"/>
      <c r="F248" s="238"/>
      <c r="G248" s="238"/>
      <c r="H248" s="238"/>
      <c r="I248" s="89">
        <v>0</v>
      </c>
      <c r="J248" s="250">
        <f>K248</f>
        <v>0</v>
      </c>
      <c r="K248" s="250"/>
    </row>
    <row r="249" spans="2:11">
      <c r="B249" s="251" t="s">
        <v>62</v>
      </c>
      <c r="C249" s="251"/>
      <c r="D249" s="251"/>
      <c r="E249" s="251"/>
      <c r="F249" s="251"/>
      <c r="G249" s="251"/>
      <c r="H249" s="251"/>
      <c r="I249" s="91">
        <v>0</v>
      </c>
      <c r="J249" s="252">
        <f>J248</f>
        <v>0</v>
      </c>
      <c r="K249" s="252"/>
    </row>
    <row r="250" spans="2:11">
      <c r="B250" s="234"/>
      <c r="C250" s="234"/>
      <c r="D250" s="234"/>
      <c r="E250" s="234"/>
      <c r="F250" s="234"/>
      <c r="G250" s="234"/>
      <c r="H250" s="234"/>
      <c r="I250" s="234"/>
      <c r="J250" s="234"/>
      <c r="K250" s="234"/>
    </row>
    <row r="251" spans="2:11">
      <c r="B251" s="253" t="s">
        <v>195</v>
      </c>
      <c r="C251" s="253"/>
      <c r="D251" s="253"/>
      <c r="E251" s="253"/>
      <c r="F251" s="253"/>
      <c r="G251" s="253"/>
      <c r="H251" s="253"/>
      <c r="I251" s="92">
        <f>ROUND(I236+I240+I246+I249,2)</f>
        <v>6884.34</v>
      </c>
      <c r="J251" s="254">
        <f>J236+J240+J246+J249</f>
        <v>24444.391195557728</v>
      </c>
      <c r="K251" s="254"/>
    </row>
    <row r="252" spans="2:11">
      <c r="B252" s="234"/>
      <c r="C252" s="234"/>
      <c r="D252" s="234"/>
      <c r="E252" s="234"/>
      <c r="F252" s="234"/>
      <c r="G252" s="234"/>
      <c r="H252" s="234"/>
      <c r="I252" s="234"/>
      <c r="J252" s="234"/>
      <c r="K252" s="234"/>
    </row>
    <row r="253" spans="2:11" ht="17.399999999999999">
      <c r="B253" s="256" t="s">
        <v>23</v>
      </c>
      <c r="C253" s="256"/>
      <c r="D253" s="256"/>
      <c r="E253" s="256"/>
      <c r="F253" s="256"/>
      <c r="G253" s="256"/>
      <c r="H253" s="256"/>
      <c r="I253" s="256"/>
      <c r="J253" s="257">
        <f>J251</f>
        <v>24444.391195557728</v>
      </c>
      <c r="K253" s="257"/>
    </row>
    <row r="254" spans="2:11">
      <c r="B254" s="234"/>
      <c r="C254" s="234"/>
      <c r="D254" s="234"/>
      <c r="E254" s="234"/>
      <c r="F254" s="234"/>
      <c r="G254" s="234"/>
      <c r="H254" s="234"/>
      <c r="I254" s="234"/>
      <c r="J254" s="234"/>
      <c r="K254" s="234"/>
    </row>
    <row r="255" spans="2:11" ht="17.399999999999999">
      <c r="B255" s="256" t="s">
        <v>24</v>
      </c>
      <c r="C255" s="256"/>
      <c r="D255" s="256"/>
      <c r="E255" s="256"/>
      <c r="F255" s="256"/>
      <c r="G255" s="256"/>
      <c r="H255" s="256"/>
      <c r="I255" s="256"/>
      <c r="J255" s="258">
        <f>I10</f>
        <v>60</v>
      </c>
      <c r="K255" s="258"/>
    </row>
    <row r="256" spans="2:11">
      <c r="B256" s="234"/>
      <c r="C256" s="234"/>
      <c r="D256" s="234"/>
      <c r="E256" s="234"/>
      <c r="F256" s="234"/>
      <c r="G256" s="234"/>
      <c r="H256" s="234"/>
      <c r="I256" s="234"/>
      <c r="J256" s="234"/>
      <c r="K256" s="234"/>
    </row>
    <row r="257" spans="2:11" ht="17.399999999999999">
      <c r="B257" s="256" t="s">
        <v>244</v>
      </c>
      <c r="C257" s="256"/>
      <c r="D257" s="256"/>
      <c r="E257" s="256"/>
      <c r="F257" s="256"/>
      <c r="G257" s="256"/>
      <c r="H257" s="256"/>
      <c r="I257" s="256"/>
      <c r="J257" s="257">
        <f>J251*J255</f>
        <v>1466663.4717334637</v>
      </c>
      <c r="K257" s="257"/>
    </row>
    <row r="258" spans="2:11">
      <c r="B258" s="234"/>
      <c r="C258" s="234"/>
      <c r="D258" s="234"/>
      <c r="E258" s="234"/>
      <c r="F258" s="234"/>
      <c r="G258" s="234"/>
      <c r="H258" s="234"/>
      <c r="I258" s="234"/>
      <c r="J258" s="234"/>
      <c r="K258" s="234"/>
    </row>
    <row r="259" spans="2:11">
      <c r="B259" s="159" t="s">
        <v>245</v>
      </c>
      <c r="C259" s="159"/>
      <c r="D259" s="159"/>
      <c r="E259" s="159"/>
      <c r="F259" s="159"/>
      <c r="G259" s="159"/>
      <c r="H259" s="159"/>
      <c r="I259" s="159"/>
      <c r="J259" s="159"/>
      <c r="K259" s="159"/>
    </row>
    <row r="260" spans="2:11">
      <c r="B260" s="190" t="s">
        <v>246</v>
      </c>
      <c r="C260" s="190"/>
      <c r="D260" s="190"/>
      <c r="E260" s="190"/>
      <c r="F260" s="190"/>
      <c r="G260" s="190"/>
      <c r="H260" s="190" t="s">
        <v>247</v>
      </c>
      <c r="I260" s="190"/>
      <c r="J260" s="190"/>
      <c r="K260" s="190"/>
    </row>
    <row r="261" spans="2:11">
      <c r="B261" s="189" t="s">
        <v>248</v>
      </c>
      <c r="C261" s="189"/>
      <c r="D261" s="189"/>
      <c r="E261" s="189"/>
      <c r="F261" s="189"/>
      <c r="G261" s="189"/>
      <c r="H261" s="255">
        <v>4</v>
      </c>
      <c r="I261" s="255"/>
      <c r="J261" s="255"/>
      <c r="K261" s="255"/>
    </row>
  </sheetData>
  <mergeCells count="401">
    <mergeCell ref="B258:K258"/>
    <mergeCell ref="B259:K259"/>
    <mergeCell ref="B260:G260"/>
    <mergeCell ref="H260:K260"/>
    <mergeCell ref="B261:G261"/>
    <mergeCell ref="H261:K261"/>
    <mergeCell ref="B252:K252"/>
    <mergeCell ref="B253:I253"/>
    <mergeCell ref="J253:K253"/>
    <mergeCell ref="B254:K254"/>
    <mergeCell ref="B255:I255"/>
    <mergeCell ref="J255:K255"/>
    <mergeCell ref="B256:K256"/>
    <mergeCell ref="B257:I257"/>
    <mergeCell ref="J257:K257"/>
    <mergeCell ref="B246:H246"/>
    <mergeCell ref="J246:K246"/>
    <mergeCell ref="B247:K247"/>
    <mergeCell ref="B248:H248"/>
    <mergeCell ref="J248:K248"/>
    <mergeCell ref="B249:H249"/>
    <mergeCell ref="J249:K249"/>
    <mergeCell ref="B250:K250"/>
    <mergeCell ref="B251:H251"/>
    <mergeCell ref="J251:K251"/>
    <mergeCell ref="B243:F243"/>
    <mergeCell ref="G243:H243"/>
    <mergeCell ref="J243:K243"/>
    <mergeCell ref="B244:F244"/>
    <mergeCell ref="G244:H244"/>
    <mergeCell ref="J244:K244"/>
    <mergeCell ref="B245:F245"/>
    <mergeCell ref="G245:H245"/>
    <mergeCell ref="J245:K245"/>
    <mergeCell ref="B239:F239"/>
    <mergeCell ref="G239:H239"/>
    <mergeCell ref="J239:K239"/>
    <mergeCell ref="B240:H240"/>
    <mergeCell ref="J240:K240"/>
    <mergeCell ref="B241:K241"/>
    <mergeCell ref="B242:F242"/>
    <mergeCell ref="G242:H242"/>
    <mergeCell ref="J242:K242"/>
    <mergeCell ref="B235:F235"/>
    <mergeCell ref="G235:H235"/>
    <mergeCell ref="J235:K235"/>
    <mergeCell ref="B236:H236"/>
    <mergeCell ref="J236:K236"/>
    <mergeCell ref="B237:K237"/>
    <mergeCell ref="B238:F238"/>
    <mergeCell ref="G238:H238"/>
    <mergeCell ref="J238:K238"/>
    <mergeCell ref="B232:F232"/>
    <mergeCell ref="G232:H232"/>
    <mergeCell ref="J232:K232"/>
    <mergeCell ref="B233:F233"/>
    <mergeCell ref="G233:H233"/>
    <mergeCell ref="J233:K233"/>
    <mergeCell ref="B234:F234"/>
    <mergeCell ref="G234:H234"/>
    <mergeCell ref="J234:K234"/>
    <mergeCell ref="B229:F229"/>
    <mergeCell ref="G229:H229"/>
    <mergeCell ref="J229:K229"/>
    <mergeCell ref="B230:F230"/>
    <mergeCell ref="G230:H230"/>
    <mergeCell ref="J230:K230"/>
    <mergeCell ref="B231:F231"/>
    <mergeCell ref="G231:H231"/>
    <mergeCell ref="J231:K231"/>
    <mergeCell ref="B222:K222"/>
    <mergeCell ref="D223:E223"/>
    <mergeCell ref="D224:E224"/>
    <mergeCell ref="B225:J225"/>
    <mergeCell ref="B226:K226"/>
    <mergeCell ref="B227:K227"/>
    <mergeCell ref="B228:F228"/>
    <mergeCell ref="G228:H228"/>
    <mergeCell ref="J228:K228"/>
    <mergeCell ref="B215:I215"/>
    <mergeCell ref="J215:K215"/>
    <mergeCell ref="B216:K216"/>
    <mergeCell ref="C217:E217"/>
    <mergeCell ref="G217:H217"/>
    <mergeCell ref="B218:K218"/>
    <mergeCell ref="D219:E219"/>
    <mergeCell ref="D220:E220"/>
    <mergeCell ref="C221:E221"/>
    <mergeCell ref="G221:H221"/>
    <mergeCell ref="B211:I211"/>
    <mergeCell ref="J211:K211"/>
    <mergeCell ref="B212:K212"/>
    <mergeCell ref="B213:D213"/>
    <mergeCell ref="H213:I213"/>
    <mergeCell ref="J213:K213"/>
    <mergeCell ref="B214:D214"/>
    <mergeCell ref="F214:G214"/>
    <mergeCell ref="H214:I214"/>
    <mergeCell ref="J214:K214"/>
    <mergeCell ref="B207:I207"/>
    <mergeCell ref="J207:K207"/>
    <mergeCell ref="B208:K208"/>
    <mergeCell ref="B209:D209"/>
    <mergeCell ref="H209:I209"/>
    <mergeCell ref="J209:K209"/>
    <mergeCell ref="B210:D210"/>
    <mergeCell ref="F210:G210"/>
    <mergeCell ref="H210:I210"/>
    <mergeCell ref="J210:K210"/>
    <mergeCell ref="B203:I203"/>
    <mergeCell ref="J203:K203"/>
    <mergeCell ref="B204:K204"/>
    <mergeCell ref="B205:D205"/>
    <mergeCell ref="H205:I205"/>
    <mergeCell ref="J205:K205"/>
    <mergeCell ref="B206:D206"/>
    <mergeCell ref="F206:G206"/>
    <mergeCell ref="H206:I206"/>
    <mergeCell ref="J206:K206"/>
    <mergeCell ref="B199:I199"/>
    <mergeCell ref="J199:K199"/>
    <mergeCell ref="B200:K200"/>
    <mergeCell ref="B201:D201"/>
    <mergeCell ref="H201:I201"/>
    <mergeCell ref="J201:K201"/>
    <mergeCell ref="B202:D202"/>
    <mergeCell ref="F202:G202"/>
    <mergeCell ref="H202:I202"/>
    <mergeCell ref="J202:K202"/>
    <mergeCell ref="B195:I195"/>
    <mergeCell ref="J195:K195"/>
    <mergeCell ref="B196:K196"/>
    <mergeCell ref="B197:D197"/>
    <mergeCell ref="H197:I197"/>
    <mergeCell ref="J197:K197"/>
    <mergeCell ref="B198:D198"/>
    <mergeCell ref="F198:G198"/>
    <mergeCell ref="H198:I198"/>
    <mergeCell ref="J198:K198"/>
    <mergeCell ref="B191:I191"/>
    <mergeCell ref="J191:K191"/>
    <mergeCell ref="B192:K192"/>
    <mergeCell ref="B193:D193"/>
    <mergeCell ref="H193:I193"/>
    <mergeCell ref="J193:K193"/>
    <mergeCell ref="B194:D194"/>
    <mergeCell ref="F194:G194"/>
    <mergeCell ref="H194:I194"/>
    <mergeCell ref="J194:K194"/>
    <mergeCell ref="B187:I187"/>
    <mergeCell ref="J187:K187"/>
    <mergeCell ref="B188:K188"/>
    <mergeCell ref="B189:D189"/>
    <mergeCell ref="H189:I189"/>
    <mergeCell ref="J189:K189"/>
    <mergeCell ref="B190:D190"/>
    <mergeCell ref="F190:G190"/>
    <mergeCell ref="H190:I190"/>
    <mergeCell ref="J190:K190"/>
    <mergeCell ref="B183:I183"/>
    <mergeCell ref="J183:K183"/>
    <mergeCell ref="B184:K184"/>
    <mergeCell ref="B185:D185"/>
    <mergeCell ref="H185:I185"/>
    <mergeCell ref="J185:K185"/>
    <mergeCell ref="B186:D186"/>
    <mergeCell ref="F186:G186"/>
    <mergeCell ref="H186:I186"/>
    <mergeCell ref="J186:K186"/>
    <mergeCell ref="B179:K179"/>
    <mergeCell ref="B180:D180"/>
    <mergeCell ref="E180:G180"/>
    <mergeCell ref="H180:I180"/>
    <mergeCell ref="J180:K180"/>
    <mergeCell ref="B181:D181"/>
    <mergeCell ref="H181:I181"/>
    <mergeCell ref="J181:K181"/>
    <mergeCell ref="B182:D182"/>
    <mergeCell ref="F182:G182"/>
    <mergeCell ref="H182:I182"/>
    <mergeCell ref="J182:K182"/>
    <mergeCell ref="C170:J170"/>
    <mergeCell ref="C171:J171"/>
    <mergeCell ref="C172:J172"/>
    <mergeCell ref="C173:J173"/>
    <mergeCell ref="C174:J174"/>
    <mergeCell ref="B175:J175"/>
    <mergeCell ref="C176:J176"/>
    <mergeCell ref="B177:J177"/>
    <mergeCell ref="B178:K178"/>
    <mergeCell ref="B162:K162"/>
    <mergeCell ref="B163:I163"/>
    <mergeCell ref="B164:D166"/>
    <mergeCell ref="E164:K164"/>
    <mergeCell ref="E165:K165"/>
    <mergeCell ref="E166:K166"/>
    <mergeCell ref="B167:K167"/>
    <mergeCell ref="B168:K168"/>
    <mergeCell ref="B169:J169"/>
    <mergeCell ref="C153:I153"/>
    <mergeCell ref="C154:I154"/>
    <mergeCell ref="C155:I155"/>
    <mergeCell ref="C156:I156"/>
    <mergeCell ref="C157:I157"/>
    <mergeCell ref="C158:I158"/>
    <mergeCell ref="C159:I159"/>
    <mergeCell ref="C160:I160"/>
    <mergeCell ref="B161:J161"/>
    <mergeCell ref="B144:K144"/>
    <mergeCell ref="B145:K145"/>
    <mergeCell ref="C146:I146"/>
    <mergeCell ref="B147:I147"/>
    <mergeCell ref="C148:I148"/>
    <mergeCell ref="B149:I149"/>
    <mergeCell ref="C150:I150"/>
    <mergeCell ref="B151:I151"/>
    <mergeCell ref="C152:I152"/>
    <mergeCell ref="B135:J135"/>
    <mergeCell ref="B136:K136"/>
    <mergeCell ref="B137:K137"/>
    <mergeCell ref="C138:J138"/>
    <mergeCell ref="C139:J139"/>
    <mergeCell ref="C140:J140"/>
    <mergeCell ref="C141:J141"/>
    <mergeCell ref="C142:J142"/>
    <mergeCell ref="B143:J143"/>
    <mergeCell ref="C126:J126"/>
    <mergeCell ref="B127:J127"/>
    <mergeCell ref="C128:J128"/>
    <mergeCell ref="B129:J129"/>
    <mergeCell ref="B130:K130"/>
    <mergeCell ref="B131:K131"/>
    <mergeCell ref="C132:J132"/>
    <mergeCell ref="C133:J133"/>
    <mergeCell ref="C134:J134"/>
    <mergeCell ref="C117:J117"/>
    <mergeCell ref="C118:J118"/>
    <mergeCell ref="C119:J119"/>
    <mergeCell ref="C120:J120"/>
    <mergeCell ref="B121:J121"/>
    <mergeCell ref="C122:J122"/>
    <mergeCell ref="B123:J123"/>
    <mergeCell ref="B124:K124"/>
    <mergeCell ref="C125:J125"/>
    <mergeCell ref="C108:I108"/>
    <mergeCell ref="B109:J109"/>
    <mergeCell ref="B110:K110"/>
    <mergeCell ref="B111:K111"/>
    <mergeCell ref="B112:J112"/>
    <mergeCell ref="B113:K113"/>
    <mergeCell ref="C114:J114"/>
    <mergeCell ref="C115:I115"/>
    <mergeCell ref="C116:J116"/>
    <mergeCell ref="D99:J99"/>
    <mergeCell ref="B100:J100"/>
    <mergeCell ref="B101:K101"/>
    <mergeCell ref="B102:K102"/>
    <mergeCell ref="C103:J103"/>
    <mergeCell ref="C104:J104"/>
    <mergeCell ref="C105:J105"/>
    <mergeCell ref="C106:J106"/>
    <mergeCell ref="C107:J107"/>
    <mergeCell ref="C90:I90"/>
    <mergeCell ref="C91:J91"/>
    <mergeCell ref="C92:J92"/>
    <mergeCell ref="B93:J93"/>
    <mergeCell ref="B94:K94"/>
    <mergeCell ref="B95:K95"/>
    <mergeCell ref="C96:J96"/>
    <mergeCell ref="D97:J97"/>
    <mergeCell ref="D98:J98"/>
    <mergeCell ref="B81:K81"/>
    <mergeCell ref="B82:K82"/>
    <mergeCell ref="C83:J83"/>
    <mergeCell ref="C84:J84"/>
    <mergeCell ref="C85:I85"/>
    <mergeCell ref="C86:I86"/>
    <mergeCell ref="C87:I87"/>
    <mergeCell ref="C88:J88"/>
    <mergeCell ref="C89:I89"/>
    <mergeCell ref="C72:I72"/>
    <mergeCell ref="C73:I73"/>
    <mergeCell ref="C74:E74"/>
    <mergeCell ref="C75:I75"/>
    <mergeCell ref="C76:I76"/>
    <mergeCell ref="C77:I77"/>
    <mergeCell ref="C78:I78"/>
    <mergeCell ref="C79:I79"/>
    <mergeCell ref="B80:I80"/>
    <mergeCell ref="C63:J63"/>
    <mergeCell ref="C64:I64"/>
    <mergeCell ref="C65:I65"/>
    <mergeCell ref="B66:J66"/>
    <mergeCell ref="C67:J67"/>
    <mergeCell ref="B68:J68"/>
    <mergeCell ref="B69:K69"/>
    <mergeCell ref="B70:K70"/>
    <mergeCell ref="C71:I71"/>
    <mergeCell ref="B55:K55"/>
    <mergeCell ref="C56:H56"/>
    <mergeCell ref="I56:J56"/>
    <mergeCell ref="C57:J57"/>
    <mergeCell ref="C58:I58"/>
    <mergeCell ref="B59:J59"/>
    <mergeCell ref="B60:K60"/>
    <mergeCell ref="B61:K61"/>
    <mergeCell ref="B62:K62"/>
    <mergeCell ref="C50:H50"/>
    <mergeCell ref="I50:K50"/>
    <mergeCell ref="C51:H51"/>
    <mergeCell ref="I51:K51"/>
    <mergeCell ref="C52:H52"/>
    <mergeCell ref="I52:K52"/>
    <mergeCell ref="C53:H53"/>
    <mergeCell ref="I53:K53"/>
    <mergeCell ref="B54:K54"/>
    <mergeCell ref="B42:J42"/>
    <mergeCell ref="B43:K43"/>
    <mergeCell ref="B44:J44"/>
    <mergeCell ref="B45:K45"/>
    <mergeCell ref="B46:K46"/>
    <mergeCell ref="B47:K47"/>
    <mergeCell ref="B48:K48"/>
    <mergeCell ref="C49:H49"/>
    <mergeCell ref="I49:K49"/>
    <mergeCell ref="B35:H35"/>
    <mergeCell ref="I35:J35"/>
    <mergeCell ref="B36:J36"/>
    <mergeCell ref="B37:K37"/>
    <mergeCell ref="B38:H38"/>
    <mergeCell ref="I38:J38"/>
    <mergeCell ref="B39:J39"/>
    <mergeCell ref="B40:K40"/>
    <mergeCell ref="B41:H41"/>
    <mergeCell ref="I41:J41"/>
    <mergeCell ref="B29:K29"/>
    <mergeCell ref="B30:H30"/>
    <mergeCell ref="I30:J30"/>
    <mergeCell ref="B31:H31"/>
    <mergeCell ref="I31:J31"/>
    <mergeCell ref="B32:H32"/>
    <mergeCell ref="I32:J32"/>
    <mergeCell ref="B33:J33"/>
    <mergeCell ref="B34:K34"/>
    <mergeCell ref="B24:H24"/>
    <mergeCell ref="I24:J24"/>
    <mergeCell ref="B25:H25"/>
    <mergeCell ref="I25:J25"/>
    <mergeCell ref="B26:H26"/>
    <mergeCell ref="I26:J26"/>
    <mergeCell ref="B27:H27"/>
    <mergeCell ref="I27:J27"/>
    <mergeCell ref="B28:J28"/>
    <mergeCell ref="B19:G19"/>
    <mergeCell ref="H19:I19"/>
    <mergeCell ref="J19:K19"/>
    <mergeCell ref="B20:I20"/>
    <mergeCell ref="J20:K20"/>
    <mergeCell ref="B21:K21"/>
    <mergeCell ref="B22:H22"/>
    <mergeCell ref="I22:J22"/>
    <mergeCell ref="B23:H23"/>
    <mergeCell ref="I23:J23"/>
    <mergeCell ref="B16:G16"/>
    <mergeCell ref="H16:I16"/>
    <mergeCell ref="J16:K16"/>
    <mergeCell ref="B17:G17"/>
    <mergeCell ref="H17:I17"/>
    <mergeCell ref="J17:K17"/>
    <mergeCell ref="B18:G18"/>
    <mergeCell ref="H18:I18"/>
    <mergeCell ref="J18:K18"/>
    <mergeCell ref="B13:G13"/>
    <mergeCell ref="H13:I13"/>
    <mergeCell ref="J13:K13"/>
    <mergeCell ref="B14:G14"/>
    <mergeCell ref="H14:I14"/>
    <mergeCell ref="J14:K14"/>
    <mergeCell ref="B15:G15"/>
    <mergeCell ref="H15:I15"/>
    <mergeCell ref="J15:K15"/>
    <mergeCell ref="C8:H8"/>
    <mergeCell ref="I8:K8"/>
    <mergeCell ref="C9:H9"/>
    <mergeCell ref="I9:K9"/>
    <mergeCell ref="C10:H10"/>
    <mergeCell ref="I10:K10"/>
    <mergeCell ref="B11:K11"/>
    <mergeCell ref="B12:G12"/>
    <mergeCell ref="H12:I12"/>
    <mergeCell ref="J12:K12"/>
    <mergeCell ref="B1:K1"/>
    <mergeCell ref="B2:K2"/>
    <mergeCell ref="B3:H3"/>
    <mergeCell ref="I3:K3"/>
    <mergeCell ref="B4:H4"/>
    <mergeCell ref="I4:K4"/>
    <mergeCell ref="I5:K5"/>
    <mergeCell ref="B6:K6"/>
    <mergeCell ref="C7:H7"/>
    <mergeCell ref="I7:K7"/>
  </mergeCells>
  <pageMargins left="0" right="0" top="0" bottom="0" header="0" footer="0"/>
  <pageSetup paperSize="9" scale="88" fitToHeight="0" orientation="portrait" r:id="rId1"/>
  <headerFooter>
    <oddHeader>&amp;C&amp;A</oddHeader>
    <oddFooter>&amp;CPágina &amp;P</oddFooter>
  </headerFooter>
  <rowBreaks count="5" manualBreakCount="5">
    <brk id="45" max="11" man="1"/>
    <brk id="101" max="11" man="1"/>
    <brk id="144" max="11" man="1"/>
    <brk id="215" max="11" man="1"/>
    <brk id="262" max="11" man="1"/>
  </rowBreaks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A257"/>
  <sheetViews>
    <sheetView tabSelected="1" view="pageBreakPreview" topLeftCell="A140" zoomScale="145" zoomScaleNormal="80" zoomScaleSheetLayoutView="145" workbookViewId="0">
      <selection activeCell="J148" sqref="J148"/>
    </sheetView>
  </sheetViews>
  <sheetFormatPr defaultColWidth="14.44140625" defaultRowHeight="13.2"/>
  <cols>
    <col min="1" max="1" width="1.6640625" customWidth="1"/>
    <col min="2" max="2" width="16.33203125" customWidth="1"/>
    <col min="3" max="5" width="10.88671875" customWidth="1"/>
    <col min="6" max="6" width="13" customWidth="1"/>
    <col min="7" max="10" width="10.88671875" customWidth="1"/>
    <col min="11" max="11" width="15.44140625" customWidth="1"/>
    <col min="12" max="12" width="2.5546875" customWidth="1"/>
    <col min="13" max="13" width="10.88671875" customWidth="1"/>
    <col min="14" max="27" width="8.6640625" customWidth="1"/>
  </cols>
  <sheetData>
    <row r="1" spans="2:12" ht="34.65" customHeight="1">
      <c r="B1" s="176" t="s">
        <v>0</v>
      </c>
      <c r="C1" s="176"/>
      <c r="D1" s="176"/>
      <c r="E1" s="176"/>
      <c r="F1" s="176"/>
      <c r="G1" s="176"/>
      <c r="H1" s="176"/>
      <c r="I1" s="176"/>
      <c r="J1" s="176"/>
      <c r="K1" s="176"/>
      <c r="L1" s="11" t="s">
        <v>28</v>
      </c>
    </row>
    <row r="2" spans="2:12" ht="45.75" customHeight="1">
      <c r="B2" s="158" t="s">
        <v>249</v>
      </c>
      <c r="C2" s="158"/>
      <c r="D2" s="158"/>
      <c r="E2" s="158"/>
      <c r="F2" s="158"/>
      <c r="G2" s="158"/>
      <c r="H2" s="158"/>
      <c r="I2" s="158"/>
      <c r="J2" s="158"/>
      <c r="K2" s="158"/>
      <c r="L2" s="11" t="s">
        <v>30</v>
      </c>
    </row>
    <row r="3" spans="2:12" ht="12.75" customHeight="1">
      <c r="B3" s="159" t="s">
        <v>2</v>
      </c>
      <c r="C3" s="159"/>
      <c r="D3" s="159"/>
      <c r="E3" s="159"/>
      <c r="F3" s="159"/>
      <c r="G3" s="159"/>
      <c r="H3" s="159"/>
      <c r="I3" s="160" t="s">
        <v>31</v>
      </c>
      <c r="J3" s="160"/>
      <c r="K3" s="160"/>
    </row>
    <row r="4" spans="2:12" ht="12.75" customHeight="1">
      <c r="B4" s="159" t="s">
        <v>4</v>
      </c>
      <c r="C4" s="159"/>
      <c r="D4" s="159"/>
      <c r="E4" s="159"/>
      <c r="F4" s="159"/>
      <c r="G4" s="159"/>
      <c r="H4" s="159"/>
      <c r="I4" s="160" t="s">
        <v>31</v>
      </c>
      <c r="J4" s="160"/>
      <c r="K4" s="160"/>
    </row>
    <row r="5" spans="2:12" ht="12.75" customHeight="1">
      <c r="B5" s="12" t="s">
        <v>32</v>
      </c>
      <c r="C5" s="13"/>
      <c r="D5" s="13"/>
      <c r="E5" s="13"/>
      <c r="F5" s="13"/>
      <c r="G5" s="13"/>
      <c r="H5" s="13"/>
      <c r="I5" s="160" t="s">
        <v>31</v>
      </c>
      <c r="J5" s="160"/>
      <c r="K5" s="160"/>
    </row>
    <row r="6" spans="2:12" ht="13.8" customHeight="1">
      <c r="B6" s="161" t="s">
        <v>6</v>
      </c>
      <c r="C6" s="161"/>
      <c r="D6" s="161"/>
      <c r="E6" s="161"/>
      <c r="F6" s="161"/>
      <c r="G6" s="161"/>
      <c r="H6" s="161"/>
      <c r="I6" s="161"/>
      <c r="J6" s="161"/>
      <c r="K6" s="161"/>
    </row>
    <row r="7" spans="2:12" ht="12.75" customHeight="1">
      <c r="B7" s="5" t="s">
        <v>7</v>
      </c>
      <c r="C7" s="159" t="s">
        <v>8</v>
      </c>
      <c r="D7" s="159"/>
      <c r="E7" s="159"/>
      <c r="F7" s="159"/>
      <c r="G7" s="159"/>
      <c r="H7" s="159"/>
      <c r="I7" s="160" t="s">
        <v>31</v>
      </c>
      <c r="J7" s="160"/>
      <c r="K7" s="160"/>
    </row>
    <row r="8" spans="2:12" ht="12.75" customHeight="1">
      <c r="B8" s="5" t="s">
        <v>9</v>
      </c>
      <c r="C8" s="159" t="s">
        <v>10</v>
      </c>
      <c r="D8" s="159"/>
      <c r="E8" s="159"/>
      <c r="F8" s="159"/>
      <c r="G8" s="159"/>
      <c r="H8" s="159"/>
      <c r="I8" s="163" t="s">
        <v>11</v>
      </c>
      <c r="J8" s="163"/>
      <c r="K8" s="163"/>
    </row>
    <row r="9" spans="2:12" ht="34.65" customHeight="1">
      <c r="B9" s="5" t="s">
        <v>12</v>
      </c>
      <c r="C9" s="159" t="s">
        <v>13</v>
      </c>
      <c r="D9" s="159"/>
      <c r="E9" s="159"/>
      <c r="F9" s="159"/>
      <c r="G9" s="159"/>
      <c r="H9" s="159"/>
      <c r="I9" s="163" t="s">
        <v>250</v>
      </c>
      <c r="J9" s="163"/>
      <c r="K9" s="163"/>
    </row>
    <row r="10" spans="2:12" ht="12.75" customHeight="1">
      <c r="B10" s="5" t="s">
        <v>15</v>
      </c>
      <c r="C10" s="159" t="s">
        <v>16</v>
      </c>
      <c r="D10" s="159"/>
      <c r="E10" s="159"/>
      <c r="F10" s="159"/>
      <c r="G10" s="159"/>
      <c r="H10" s="159"/>
      <c r="I10" s="160">
        <v>60</v>
      </c>
      <c r="J10" s="160"/>
      <c r="K10" s="160"/>
    </row>
    <row r="11" spans="2:12" ht="13.8" customHeight="1">
      <c r="B11" s="178" t="s">
        <v>33</v>
      </c>
      <c r="C11" s="178"/>
      <c r="D11" s="178"/>
      <c r="E11" s="178"/>
      <c r="F11" s="178"/>
      <c r="G11" s="178"/>
      <c r="H11" s="178"/>
      <c r="I11" s="178"/>
      <c r="J11" s="178"/>
      <c r="K11" s="178"/>
    </row>
    <row r="12" spans="2:12" ht="34.65" customHeight="1">
      <c r="B12" s="179" t="s">
        <v>251</v>
      </c>
      <c r="C12" s="179"/>
      <c r="D12" s="179"/>
      <c r="E12" s="179"/>
      <c r="F12" s="179"/>
      <c r="G12" s="179"/>
      <c r="H12" s="179" t="s">
        <v>35</v>
      </c>
      <c r="I12" s="179"/>
      <c r="J12" s="179" t="s">
        <v>36</v>
      </c>
      <c r="K12" s="179"/>
    </row>
    <row r="13" spans="2:12" ht="12.75" customHeight="1">
      <c r="B13" s="180" t="s">
        <v>37</v>
      </c>
      <c r="C13" s="180"/>
      <c r="D13" s="180"/>
      <c r="E13" s="180"/>
      <c r="F13" s="180"/>
      <c r="G13" s="180"/>
      <c r="H13" s="181" t="s">
        <v>38</v>
      </c>
      <c r="I13" s="181"/>
      <c r="J13" s="182">
        <v>0</v>
      </c>
      <c r="K13" s="182"/>
    </row>
    <row r="14" spans="2:12" ht="12.75" customHeight="1">
      <c r="B14" s="180" t="s">
        <v>39</v>
      </c>
      <c r="C14" s="180"/>
      <c r="D14" s="180"/>
      <c r="E14" s="180"/>
      <c r="F14" s="180"/>
      <c r="G14" s="180"/>
      <c r="H14" s="181" t="s">
        <v>38</v>
      </c>
      <c r="I14" s="181"/>
      <c r="J14" s="182">
        <v>0</v>
      </c>
      <c r="K14" s="182"/>
    </row>
    <row r="15" spans="2:12" ht="12.75" customHeight="1">
      <c r="B15" s="180" t="s">
        <v>40</v>
      </c>
      <c r="C15" s="180"/>
      <c r="D15" s="180"/>
      <c r="E15" s="180"/>
      <c r="F15" s="180"/>
      <c r="G15" s="180"/>
      <c r="H15" s="181" t="s">
        <v>38</v>
      </c>
      <c r="I15" s="181"/>
      <c r="J15" s="182">
        <v>0</v>
      </c>
      <c r="K15" s="182"/>
    </row>
    <row r="16" spans="2:12" ht="12.75" customHeight="1">
      <c r="B16" s="180" t="s">
        <v>41</v>
      </c>
      <c r="C16" s="180"/>
      <c r="D16" s="180"/>
      <c r="E16" s="180"/>
      <c r="F16" s="180"/>
      <c r="G16" s="180"/>
      <c r="H16" s="181" t="s">
        <v>38</v>
      </c>
      <c r="I16" s="181"/>
      <c r="J16" s="182">
        <v>0</v>
      </c>
      <c r="K16" s="182"/>
    </row>
    <row r="17" spans="2:11" ht="12.75" customHeight="1">
      <c r="B17" s="180" t="s">
        <v>42</v>
      </c>
      <c r="C17" s="180"/>
      <c r="D17" s="180"/>
      <c r="E17" s="180"/>
      <c r="F17" s="180"/>
      <c r="G17" s="180"/>
      <c r="H17" s="181" t="s">
        <v>38</v>
      </c>
      <c r="I17" s="181"/>
      <c r="J17" s="182">
        <v>0</v>
      </c>
      <c r="K17" s="182"/>
    </row>
    <row r="18" spans="2:11" ht="12.75" customHeight="1">
      <c r="B18" s="180" t="s">
        <v>43</v>
      </c>
      <c r="C18" s="180"/>
      <c r="D18" s="180"/>
      <c r="E18" s="180"/>
      <c r="F18" s="180"/>
      <c r="G18" s="180"/>
      <c r="H18" s="181" t="s">
        <v>38</v>
      </c>
      <c r="I18" s="181"/>
      <c r="J18" s="182">
        <v>0</v>
      </c>
      <c r="K18" s="182"/>
    </row>
    <row r="19" spans="2:11" ht="12.75" customHeight="1">
      <c r="B19" s="180" t="s">
        <v>44</v>
      </c>
      <c r="C19" s="180"/>
      <c r="D19" s="180"/>
      <c r="E19" s="180"/>
      <c r="F19" s="180"/>
      <c r="G19" s="180"/>
      <c r="H19" s="183" t="s">
        <v>38</v>
      </c>
      <c r="I19" s="183"/>
      <c r="J19" s="182">
        <v>558.79999999999995</v>
      </c>
      <c r="K19" s="182"/>
    </row>
    <row r="20" spans="2:11" ht="12.75" customHeight="1">
      <c r="B20" s="184" t="s">
        <v>45</v>
      </c>
      <c r="C20" s="184"/>
      <c r="D20" s="184"/>
      <c r="E20" s="184"/>
      <c r="F20" s="184"/>
      <c r="G20" s="184"/>
      <c r="H20" s="184"/>
      <c r="I20" s="184"/>
      <c r="J20" s="185">
        <f>ROUND(J13+J14+J15+J16+J17+J18+J19,2)</f>
        <v>558.79999999999995</v>
      </c>
      <c r="K20" s="185"/>
    </row>
    <row r="21" spans="2:11">
      <c r="B21" s="186"/>
      <c r="C21" s="186"/>
      <c r="D21" s="186"/>
      <c r="E21" s="186"/>
      <c r="F21" s="186"/>
      <c r="G21" s="186"/>
      <c r="H21" s="186"/>
      <c r="I21" s="186"/>
      <c r="J21" s="186"/>
      <c r="K21" s="186"/>
    </row>
    <row r="22" spans="2:11" ht="12.75" customHeight="1">
      <c r="B22" s="180" t="s">
        <v>46</v>
      </c>
      <c r="C22" s="180"/>
      <c r="D22" s="180"/>
      <c r="E22" s="180"/>
      <c r="F22" s="180"/>
      <c r="G22" s="180"/>
      <c r="H22" s="180"/>
      <c r="I22" s="181" t="s">
        <v>38</v>
      </c>
      <c r="J22" s="181"/>
      <c r="K22" s="17">
        <v>0</v>
      </c>
    </row>
    <row r="23" spans="2:11" ht="12.75" customHeight="1">
      <c r="B23" s="180" t="s">
        <v>47</v>
      </c>
      <c r="C23" s="180"/>
      <c r="D23" s="180"/>
      <c r="E23" s="180"/>
      <c r="F23" s="180"/>
      <c r="G23" s="180"/>
      <c r="H23" s="180"/>
      <c r="I23" s="187" t="s">
        <v>38</v>
      </c>
      <c r="J23" s="187"/>
      <c r="K23" s="17">
        <v>0</v>
      </c>
    </row>
    <row r="24" spans="2:11" ht="12.75" customHeight="1">
      <c r="B24" s="180" t="s">
        <v>48</v>
      </c>
      <c r="C24" s="180"/>
      <c r="D24" s="180"/>
      <c r="E24" s="180"/>
      <c r="F24" s="180"/>
      <c r="G24" s="180"/>
      <c r="H24" s="180"/>
      <c r="I24" s="181" t="s">
        <v>38</v>
      </c>
      <c r="J24" s="181"/>
      <c r="K24" s="17">
        <v>0</v>
      </c>
    </row>
    <row r="25" spans="2:11" ht="12.75" customHeight="1">
      <c r="B25" s="180" t="s">
        <v>49</v>
      </c>
      <c r="C25" s="180"/>
      <c r="D25" s="180"/>
      <c r="E25" s="180"/>
      <c r="F25" s="180"/>
      <c r="G25" s="180"/>
      <c r="H25" s="180"/>
      <c r="I25" s="187" t="s">
        <v>38</v>
      </c>
      <c r="J25" s="187"/>
      <c r="K25" s="17">
        <v>0</v>
      </c>
    </row>
    <row r="26" spans="2:11" ht="12.75" customHeight="1">
      <c r="B26" s="180" t="s">
        <v>50</v>
      </c>
      <c r="C26" s="180"/>
      <c r="D26" s="180"/>
      <c r="E26" s="180"/>
      <c r="F26" s="180"/>
      <c r="G26" s="180"/>
      <c r="H26" s="180"/>
      <c r="I26" s="187" t="s">
        <v>38</v>
      </c>
      <c r="J26" s="187"/>
      <c r="K26" s="17">
        <v>0</v>
      </c>
    </row>
    <row r="27" spans="2:11" ht="12.75" customHeight="1">
      <c r="B27" s="180" t="s">
        <v>51</v>
      </c>
      <c r="C27" s="180"/>
      <c r="D27" s="180"/>
      <c r="E27" s="180"/>
      <c r="F27" s="180"/>
      <c r="G27" s="180"/>
      <c r="H27" s="180"/>
      <c r="I27" s="181" t="s">
        <v>38</v>
      </c>
      <c r="J27" s="181"/>
      <c r="K27" s="17">
        <v>0</v>
      </c>
    </row>
    <row r="28" spans="2:11" ht="12.75" customHeight="1">
      <c r="B28" s="184" t="s">
        <v>52</v>
      </c>
      <c r="C28" s="184"/>
      <c r="D28" s="184"/>
      <c r="E28" s="184"/>
      <c r="F28" s="184"/>
      <c r="G28" s="184"/>
      <c r="H28" s="184"/>
      <c r="I28" s="184"/>
      <c r="J28" s="184"/>
      <c r="K28" s="16">
        <f>ROUND(K22+K23+K24+K25+K26+K27,2)</f>
        <v>0</v>
      </c>
    </row>
    <row r="29" spans="2:11">
      <c r="B29" s="186"/>
      <c r="C29" s="186"/>
      <c r="D29" s="186"/>
      <c r="E29" s="186"/>
      <c r="F29" s="186"/>
      <c r="G29" s="186"/>
      <c r="H29" s="186"/>
      <c r="I29" s="186"/>
      <c r="J29" s="186"/>
      <c r="K29" s="186"/>
    </row>
    <row r="30" spans="2:11" ht="12.75" customHeight="1">
      <c r="B30" s="180" t="s">
        <v>53</v>
      </c>
      <c r="C30" s="180"/>
      <c r="D30" s="180"/>
      <c r="E30" s="180"/>
      <c r="F30" s="180"/>
      <c r="G30" s="180"/>
      <c r="H30" s="180"/>
      <c r="I30" s="181" t="s">
        <v>38</v>
      </c>
      <c r="J30" s="181"/>
      <c r="K30" s="17">
        <v>0</v>
      </c>
    </row>
    <row r="31" spans="2:11" ht="12.75" customHeight="1">
      <c r="B31" s="180" t="s">
        <v>54</v>
      </c>
      <c r="C31" s="180"/>
      <c r="D31" s="180"/>
      <c r="E31" s="180"/>
      <c r="F31" s="180"/>
      <c r="G31" s="180"/>
      <c r="H31" s="180"/>
      <c r="I31" s="181" t="s">
        <v>38</v>
      </c>
      <c r="J31" s="181"/>
      <c r="K31" s="17">
        <v>0</v>
      </c>
    </row>
    <row r="32" spans="2:11" ht="12.75" customHeight="1">
      <c r="B32" s="180" t="s">
        <v>55</v>
      </c>
      <c r="C32" s="180"/>
      <c r="D32" s="180"/>
      <c r="E32" s="180"/>
      <c r="F32" s="180"/>
      <c r="G32" s="180"/>
      <c r="H32" s="180"/>
      <c r="I32" s="181" t="s">
        <v>38</v>
      </c>
      <c r="J32" s="181"/>
      <c r="K32" s="17">
        <v>0</v>
      </c>
    </row>
    <row r="33" spans="2:11">
      <c r="B33" s="188" t="s">
        <v>56</v>
      </c>
      <c r="C33" s="188"/>
      <c r="D33" s="188"/>
      <c r="E33" s="188"/>
      <c r="F33" s="188"/>
      <c r="G33" s="188"/>
      <c r="H33" s="188"/>
      <c r="I33" s="188"/>
      <c r="J33" s="188"/>
      <c r="K33" s="16">
        <f>ROUND(K30+K31+K32,2)</f>
        <v>0</v>
      </c>
    </row>
    <row r="34" spans="2:11">
      <c r="B34" s="186"/>
      <c r="C34" s="186"/>
      <c r="D34" s="186"/>
      <c r="E34" s="186"/>
      <c r="F34" s="186"/>
      <c r="G34" s="186"/>
      <c r="H34" s="186"/>
      <c r="I34" s="186"/>
      <c r="J34" s="186"/>
      <c r="K34" s="186"/>
    </row>
    <row r="35" spans="2:11" ht="12.75" customHeight="1">
      <c r="B35" s="189" t="s">
        <v>57</v>
      </c>
      <c r="C35" s="189"/>
      <c r="D35" s="189"/>
      <c r="E35" s="189"/>
      <c r="F35" s="189"/>
      <c r="G35" s="189"/>
      <c r="H35" s="189"/>
      <c r="I35" s="181" t="s">
        <v>38</v>
      </c>
      <c r="J35" s="181"/>
      <c r="K35" s="17">
        <v>0</v>
      </c>
    </row>
    <row r="36" spans="2:11" ht="12.75" customHeight="1">
      <c r="B36" s="184" t="s">
        <v>58</v>
      </c>
      <c r="C36" s="184"/>
      <c r="D36" s="184"/>
      <c r="E36" s="184"/>
      <c r="F36" s="184"/>
      <c r="G36" s="184"/>
      <c r="H36" s="184"/>
      <c r="I36" s="184"/>
      <c r="J36" s="184"/>
      <c r="K36" s="16">
        <f>K35</f>
        <v>0</v>
      </c>
    </row>
    <row r="37" spans="2:11">
      <c r="B37" s="186"/>
      <c r="C37" s="186"/>
      <c r="D37" s="186"/>
      <c r="E37" s="186"/>
      <c r="F37" s="186"/>
      <c r="G37" s="186"/>
      <c r="H37" s="186"/>
      <c r="I37" s="186"/>
      <c r="J37" s="186"/>
      <c r="K37" s="186"/>
    </row>
    <row r="38" spans="2:11">
      <c r="B38" s="189" t="s">
        <v>59</v>
      </c>
      <c r="C38" s="189"/>
      <c r="D38" s="189"/>
      <c r="E38" s="189"/>
      <c r="F38" s="189"/>
      <c r="G38" s="189"/>
      <c r="H38" s="189"/>
      <c r="I38" s="187" t="s">
        <v>38</v>
      </c>
      <c r="J38" s="187"/>
      <c r="K38" s="18">
        <v>0</v>
      </c>
    </row>
    <row r="39" spans="2:11">
      <c r="B39" s="190" t="s">
        <v>60</v>
      </c>
      <c r="C39" s="190"/>
      <c r="D39" s="190"/>
      <c r="E39" s="190"/>
      <c r="F39" s="190"/>
      <c r="G39" s="190"/>
      <c r="H39" s="190"/>
      <c r="I39" s="190"/>
      <c r="J39" s="190"/>
      <c r="K39" s="16">
        <v>0</v>
      </c>
    </row>
    <row r="40" spans="2:11">
      <c r="B40" s="186"/>
      <c r="C40" s="186"/>
      <c r="D40" s="186"/>
      <c r="E40" s="186"/>
      <c r="F40" s="186"/>
      <c r="G40" s="186"/>
      <c r="H40" s="186"/>
      <c r="I40" s="186"/>
      <c r="J40" s="186"/>
      <c r="K40" s="186"/>
    </row>
    <row r="41" spans="2:11">
      <c r="B41" s="189" t="s">
        <v>61</v>
      </c>
      <c r="C41" s="189"/>
      <c r="D41" s="189"/>
      <c r="E41" s="189"/>
      <c r="F41" s="189"/>
      <c r="G41" s="189"/>
      <c r="H41" s="189"/>
      <c r="I41" s="187" t="s">
        <v>38</v>
      </c>
      <c r="J41" s="187"/>
      <c r="K41" s="18">
        <v>0</v>
      </c>
    </row>
    <row r="42" spans="2:11">
      <c r="B42" s="188" t="s">
        <v>62</v>
      </c>
      <c r="C42" s="188"/>
      <c r="D42" s="188"/>
      <c r="E42" s="188"/>
      <c r="F42" s="188"/>
      <c r="G42" s="188"/>
      <c r="H42" s="188"/>
      <c r="I42" s="188"/>
      <c r="J42" s="188"/>
      <c r="K42" s="16">
        <v>0</v>
      </c>
    </row>
    <row r="43" spans="2:11">
      <c r="B43" s="186"/>
      <c r="C43" s="186"/>
      <c r="D43" s="186"/>
      <c r="E43" s="186"/>
      <c r="F43" s="186"/>
      <c r="G43" s="186"/>
      <c r="H43" s="186"/>
      <c r="I43" s="186"/>
      <c r="J43" s="186"/>
      <c r="K43" s="186"/>
    </row>
    <row r="44" spans="2:11" ht="12.75" customHeight="1">
      <c r="B44" s="191" t="s">
        <v>63</v>
      </c>
      <c r="C44" s="191"/>
      <c r="D44" s="191"/>
      <c r="E44" s="191"/>
      <c r="F44" s="191"/>
      <c r="G44" s="191"/>
      <c r="H44" s="191"/>
      <c r="I44" s="191"/>
      <c r="J44" s="191"/>
      <c r="K44" s="20">
        <f>ROUND(J20+K28+K33+K36+K39,2)</f>
        <v>558.79999999999995</v>
      </c>
    </row>
    <row r="45" spans="2:11">
      <c r="B45" s="186"/>
      <c r="C45" s="186"/>
      <c r="D45" s="186"/>
      <c r="E45" s="186"/>
      <c r="F45" s="186"/>
      <c r="G45" s="186"/>
      <c r="H45" s="186"/>
      <c r="I45" s="186"/>
      <c r="J45" s="186"/>
      <c r="K45" s="186"/>
    </row>
    <row r="46" spans="2:11" ht="43.2" customHeight="1">
      <c r="B46" s="192" t="s">
        <v>64</v>
      </c>
      <c r="C46" s="192"/>
      <c r="D46" s="192"/>
      <c r="E46" s="192"/>
      <c r="F46" s="192"/>
      <c r="G46" s="192"/>
      <c r="H46" s="192"/>
      <c r="I46" s="192"/>
      <c r="J46" s="192"/>
      <c r="K46" s="192"/>
    </row>
    <row r="47" spans="2:11">
      <c r="B47" s="186"/>
      <c r="C47" s="186"/>
      <c r="D47" s="186"/>
      <c r="E47" s="186"/>
      <c r="F47" s="186"/>
      <c r="G47" s="186"/>
      <c r="H47" s="186"/>
      <c r="I47" s="186"/>
      <c r="J47" s="186"/>
      <c r="K47" s="186"/>
    </row>
    <row r="48" spans="2:11" ht="13.8" customHeight="1">
      <c r="B48" s="193" t="s">
        <v>65</v>
      </c>
      <c r="C48" s="193"/>
      <c r="D48" s="193"/>
      <c r="E48" s="193"/>
      <c r="F48" s="193"/>
      <c r="G48" s="193"/>
      <c r="H48" s="193"/>
      <c r="I48" s="193"/>
      <c r="J48" s="193"/>
      <c r="K48" s="193"/>
    </row>
    <row r="49" spans="2:27" ht="13.8" customHeight="1">
      <c r="B49" s="5">
        <v>1</v>
      </c>
      <c r="C49" s="159" t="s">
        <v>66</v>
      </c>
      <c r="D49" s="159"/>
      <c r="E49" s="159"/>
      <c r="F49" s="159"/>
      <c r="G49" s="159"/>
      <c r="H49" s="159"/>
      <c r="I49" s="195" t="s">
        <v>67</v>
      </c>
      <c r="J49" s="195"/>
      <c r="K49" s="195"/>
    </row>
    <row r="50" spans="2:27" ht="13.8" customHeight="1">
      <c r="B50" s="5">
        <v>2</v>
      </c>
      <c r="C50" s="159" t="s">
        <v>68</v>
      </c>
      <c r="D50" s="159"/>
      <c r="E50" s="159"/>
      <c r="F50" s="159"/>
      <c r="G50" s="159"/>
      <c r="H50" s="159"/>
      <c r="I50" s="195">
        <v>5143</v>
      </c>
      <c r="J50" s="195"/>
      <c r="K50" s="195"/>
    </row>
    <row r="51" spans="2:27" ht="13.8" customHeight="1">
      <c r="B51" s="5">
        <v>3</v>
      </c>
      <c r="C51" s="159" t="s">
        <v>69</v>
      </c>
      <c r="D51" s="159"/>
      <c r="E51" s="159"/>
      <c r="F51" s="159"/>
      <c r="G51" s="159"/>
      <c r="H51" s="159"/>
      <c r="I51" s="259">
        <v>1540.51</v>
      </c>
      <c r="J51" s="259"/>
      <c r="K51" s="259"/>
    </row>
    <row r="52" spans="2:27" ht="13.8" customHeight="1">
      <c r="B52" s="5">
        <v>4</v>
      </c>
      <c r="C52" s="159" t="s">
        <v>70</v>
      </c>
      <c r="D52" s="159"/>
      <c r="E52" s="159"/>
      <c r="F52" s="159"/>
      <c r="G52" s="159"/>
      <c r="H52" s="159"/>
      <c r="I52" s="197" t="s">
        <v>71</v>
      </c>
      <c r="J52" s="197"/>
      <c r="K52" s="197"/>
    </row>
    <row r="53" spans="2:27" ht="13.8" customHeight="1">
      <c r="B53" s="5">
        <v>5</v>
      </c>
      <c r="C53" s="159" t="s">
        <v>72</v>
      </c>
      <c r="D53" s="159"/>
      <c r="E53" s="159"/>
      <c r="F53" s="159"/>
      <c r="G53" s="159"/>
      <c r="H53" s="159"/>
      <c r="I53" s="197" t="s">
        <v>73</v>
      </c>
      <c r="J53" s="197"/>
      <c r="K53" s="197"/>
    </row>
    <row r="54" spans="2:27">
      <c r="B54" s="186"/>
      <c r="C54" s="186"/>
      <c r="D54" s="186"/>
      <c r="E54" s="186"/>
      <c r="F54" s="186"/>
      <c r="G54" s="186"/>
      <c r="H54" s="186"/>
      <c r="I54" s="186"/>
      <c r="J54" s="186"/>
      <c r="K54" s="186"/>
    </row>
    <row r="55" spans="2:27" ht="18.600000000000001" customHeight="1">
      <c r="B55" s="192" t="s">
        <v>74</v>
      </c>
      <c r="C55" s="192"/>
      <c r="D55" s="192"/>
      <c r="E55" s="192"/>
      <c r="F55" s="192"/>
      <c r="G55" s="192"/>
      <c r="H55" s="192"/>
      <c r="I55" s="192"/>
      <c r="J55" s="192"/>
      <c r="K55" s="192"/>
    </row>
    <row r="56" spans="2:27" ht="26.7" customHeight="1">
      <c r="B56" s="21">
        <v>1</v>
      </c>
      <c r="C56" s="193" t="s">
        <v>75</v>
      </c>
      <c r="D56" s="193"/>
      <c r="E56" s="193"/>
      <c r="F56" s="193"/>
      <c r="G56" s="193"/>
      <c r="H56" s="193"/>
      <c r="I56" s="193" t="s">
        <v>76</v>
      </c>
      <c r="J56" s="193"/>
      <c r="K56" s="21" t="s">
        <v>77</v>
      </c>
    </row>
    <row r="57" spans="2:27" ht="13.2" customHeight="1">
      <c r="B57" s="5" t="s">
        <v>7</v>
      </c>
      <c r="C57" s="159" t="s">
        <v>78</v>
      </c>
      <c r="D57" s="159"/>
      <c r="E57" s="159"/>
      <c r="F57" s="159"/>
      <c r="G57" s="159"/>
      <c r="H57" s="159"/>
      <c r="I57" s="159"/>
      <c r="J57" s="159"/>
      <c r="K57" s="22">
        <f>I51</f>
        <v>1540.51</v>
      </c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</row>
    <row r="58" spans="2:27" ht="13.2" customHeight="1">
      <c r="B58" s="5" t="s">
        <v>9</v>
      </c>
      <c r="C58" s="159" t="s">
        <v>252</v>
      </c>
      <c r="D58" s="159"/>
      <c r="E58" s="159"/>
      <c r="F58" s="159"/>
      <c r="G58" s="159"/>
      <c r="H58" s="159"/>
      <c r="I58" s="159"/>
      <c r="J58" s="24">
        <v>0.4</v>
      </c>
      <c r="K58" s="25">
        <f>ROUND(J58*K57,2)</f>
        <v>616.20000000000005</v>
      </c>
    </row>
    <row r="59" spans="2:27" ht="13.8" customHeight="1">
      <c r="B59" s="184" t="s">
        <v>80</v>
      </c>
      <c r="C59" s="184"/>
      <c r="D59" s="184"/>
      <c r="E59" s="184"/>
      <c r="F59" s="184"/>
      <c r="G59" s="184"/>
      <c r="H59" s="184"/>
      <c r="I59" s="184"/>
      <c r="J59" s="184"/>
      <c r="K59" s="27">
        <f>SUM(K57:K58)</f>
        <v>2156.71</v>
      </c>
    </row>
    <row r="60" spans="2:27">
      <c r="B60" s="186"/>
      <c r="C60" s="186"/>
      <c r="D60" s="186"/>
      <c r="E60" s="186"/>
      <c r="F60" s="186"/>
      <c r="G60" s="186"/>
      <c r="H60" s="186"/>
      <c r="I60" s="186"/>
      <c r="J60" s="186"/>
      <c r="K60" s="186"/>
    </row>
    <row r="61" spans="2:27" ht="13.8" customHeight="1">
      <c r="B61" s="198" t="s">
        <v>81</v>
      </c>
      <c r="C61" s="198"/>
      <c r="D61" s="198"/>
      <c r="E61" s="198"/>
      <c r="F61" s="198"/>
      <c r="G61" s="198"/>
      <c r="H61" s="198"/>
      <c r="I61" s="198"/>
      <c r="J61" s="198"/>
      <c r="K61" s="198"/>
    </row>
    <row r="62" spans="2:27" ht="13.8">
      <c r="B62" s="199" t="s">
        <v>82</v>
      </c>
      <c r="C62" s="199"/>
      <c r="D62" s="199"/>
      <c r="E62" s="199"/>
      <c r="F62" s="199"/>
      <c r="G62" s="199"/>
      <c r="H62" s="199"/>
      <c r="I62" s="199"/>
      <c r="J62" s="199"/>
      <c r="K62" s="199"/>
    </row>
    <row r="63" spans="2:27" ht="13.8">
      <c r="B63" s="28" t="s">
        <v>83</v>
      </c>
      <c r="C63" s="200" t="s">
        <v>84</v>
      </c>
      <c r="D63" s="200"/>
      <c r="E63" s="200"/>
      <c r="F63" s="200"/>
      <c r="G63" s="200"/>
      <c r="H63" s="200"/>
      <c r="I63" s="200"/>
      <c r="J63" s="200"/>
      <c r="K63" s="14" t="s">
        <v>85</v>
      </c>
    </row>
    <row r="64" spans="2:27" ht="22.95" customHeight="1">
      <c r="B64" s="29" t="s">
        <v>7</v>
      </c>
      <c r="C64" s="159" t="s">
        <v>86</v>
      </c>
      <c r="D64" s="159"/>
      <c r="E64" s="159"/>
      <c r="F64" s="159"/>
      <c r="G64" s="159"/>
      <c r="H64" s="159"/>
      <c r="I64" s="159"/>
      <c r="J64" s="30">
        <v>8.3299999999999999E-2</v>
      </c>
      <c r="K64" s="31">
        <f>$K$59*J64</f>
        <v>179.653943</v>
      </c>
    </row>
    <row r="65" spans="2:11" ht="30.3" customHeight="1">
      <c r="B65" s="29" t="s">
        <v>9</v>
      </c>
      <c r="C65" s="201" t="s">
        <v>87</v>
      </c>
      <c r="D65" s="201"/>
      <c r="E65" s="201"/>
      <c r="F65" s="201"/>
      <c r="G65" s="201"/>
      <c r="H65" s="201"/>
      <c r="I65" s="201"/>
      <c r="J65" s="32">
        <v>3.0249999999999999E-2</v>
      </c>
      <c r="K65" s="31">
        <f>$K$59*J65</f>
        <v>65.240477499999997</v>
      </c>
    </row>
    <row r="66" spans="2:11">
      <c r="B66" s="202" t="s">
        <v>88</v>
      </c>
      <c r="C66" s="202"/>
      <c r="D66" s="202"/>
      <c r="E66" s="202"/>
      <c r="F66" s="202"/>
      <c r="G66" s="202"/>
      <c r="H66" s="202"/>
      <c r="I66" s="202"/>
      <c r="J66" s="202"/>
      <c r="K66" s="31">
        <f>SUM(K64+K65)</f>
        <v>244.8944205</v>
      </c>
    </row>
    <row r="67" spans="2:11">
      <c r="B67" s="33" t="s">
        <v>12</v>
      </c>
      <c r="C67" s="203" t="s">
        <v>89</v>
      </c>
      <c r="D67" s="203"/>
      <c r="E67" s="203"/>
      <c r="F67" s="203"/>
      <c r="G67" s="203"/>
      <c r="H67" s="203"/>
      <c r="I67" s="203"/>
      <c r="J67" s="203"/>
      <c r="K67" s="34">
        <f>J80*K66</f>
        <v>90.121146744000015</v>
      </c>
    </row>
    <row r="68" spans="2:11">
      <c r="B68" s="188" t="s">
        <v>88</v>
      </c>
      <c r="C68" s="188"/>
      <c r="D68" s="188"/>
      <c r="E68" s="188"/>
      <c r="F68" s="188"/>
      <c r="G68" s="188"/>
      <c r="H68" s="188"/>
      <c r="I68" s="188"/>
      <c r="J68" s="188"/>
      <c r="K68" s="59">
        <f>K66+K67</f>
        <v>335.01556724400001</v>
      </c>
    </row>
    <row r="69" spans="2:11">
      <c r="B69" s="186"/>
      <c r="C69" s="186"/>
      <c r="D69" s="186"/>
      <c r="E69" s="186"/>
      <c r="F69" s="186"/>
      <c r="G69" s="186"/>
      <c r="H69" s="186"/>
      <c r="I69" s="186"/>
      <c r="J69" s="186"/>
      <c r="K69" s="186"/>
    </row>
    <row r="70" spans="2:11" ht="25.5" customHeight="1">
      <c r="B70" s="198" t="s">
        <v>90</v>
      </c>
      <c r="C70" s="198"/>
      <c r="D70" s="198"/>
      <c r="E70" s="198"/>
      <c r="F70" s="198"/>
      <c r="G70" s="198"/>
      <c r="H70" s="198"/>
      <c r="I70" s="198"/>
      <c r="J70" s="198"/>
      <c r="K70" s="198"/>
    </row>
    <row r="71" spans="2:11" ht="27.6">
      <c r="B71" s="36" t="s">
        <v>91</v>
      </c>
      <c r="C71" s="204" t="s">
        <v>92</v>
      </c>
      <c r="D71" s="204"/>
      <c r="E71" s="204"/>
      <c r="F71" s="204"/>
      <c r="G71" s="204"/>
      <c r="H71" s="204"/>
      <c r="I71" s="204"/>
      <c r="J71" s="21" t="s">
        <v>93</v>
      </c>
      <c r="K71" s="21" t="s">
        <v>94</v>
      </c>
    </row>
    <row r="72" spans="2:11">
      <c r="B72" s="29" t="s">
        <v>7</v>
      </c>
      <c r="C72" s="203" t="s">
        <v>95</v>
      </c>
      <c r="D72" s="203"/>
      <c r="E72" s="203"/>
      <c r="F72" s="203"/>
      <c r="G72" s="203"/>
      <c r="H72" s="203"/>
      <c r="I72" s="203"/>
      <c r="J72" s="37">
        <v>0.2</v>
      </c>
      <c r="K72" s="31">
        <f t="shared" ref="K72:K79" si="0">$K$59*J72</f>
        <v>431.34200000000004</v>
      </c>
    </row>
    <row r="73" spans="2:11">
      <c r="B73" s="29" t="s">
        <v>9</v>
      </c>
      <c r="C73" s="203" t="s">
        <v>96</v>
      </c>
      <c r="D73" s="203"/>
      <c r="E73" s="203"/>
      <c r="F73" s="203"/>
      <c r="G73" s="203"/>
      <c r="H73" s="203"/>
      <c r="I73" s="203"/>
      <c r="J73" s="37">
        <v>2.5000000000000001E-2</v>
      </c>
      <c r="K73" s="31">
        <f t="shared" si="0"/>
        <v>53.917750000000005</v>
      </c>
    </row>
    <row r="74" spans="2:11">
      <c r="B74" s="29" t="s">
        <v>12</v>
      </c>
      <c r="C74" s="203" t="s">
        <v>97</v>
      </c>
      <c r="D74" s="203"/>
      <c r="E74" s="203"/>
      <c r="F74" s="19" t="s">
        <v>98</v>
      </c>
      <c r="G74" s="38">
        <f>'Servente 20%'!G74</f>
        <v>0.03</v>
      </c>
      <c r="H74" s="19" t="s">
        <v>99</v>
      </c>
      <c r="I74" s="39">
        <v>1</v>
      </c>
      <c r="J74" s="40">
        <f>ROUND((G74*I74),6)</f>
        <v>0.03</v>
      </c>
      <c r="K74" s="31">
        <f t="shared" si="0"/>
        <v>64.701300000000003</v>
      </c>
    </row>
    <row r="75" spans="2:11">
      <c r="B75" s="29" t="s">
        <v>15</v>
      </c>
      <c r="C75" s="203" t="s">
        <v>100</v>
      </c>
      <c r="D75" s="203"/>
      <c r="E75" s="203"/>
      <c r="F75" s="203"/>
      <c r="G75" s="203"/>
      <c r="H75" s="203"/>
      <c r="I75" s="203"/>
      <c r="J75" s="37">
        <v>1.4999999999999999E-2</v>
      </c>
      <c r="K75" s="31">
        <f t="shared" si="0"/>
        <v>32.350650000000002</v>
      </c>
    </row>
    <row r="76" spans="2:11">
      <c r="B76" s="29" t="s">
        <v>101</v>
      </c>
      <c r="C76" s="203" t="s">
        <v>102</v>
      </c>
      <c r="D76" s="203"/>
      <c r="E76" s="203"/>
      <c r="F76" s="203"/>
      <c r="G76" s="203"/>
      <c r="H76" s="203"/>
      <c r="I76" s="203"/>
      <c r="J76" s="37">
        <v>0.01</v>
      </c>
      <c r="K76" s="31">
        <f t="shared" si="0"/>
        <v>21.5671</v>
      </c>
    </row>
    <row r="77" spans="2:11">
      <c r="B77" s="29" t="s">
        <v>103</v>
      </c>
      <c r="C77" s="203" t="s">
        <v>104</v>
      </c>
      <c r="D77" s="203"/>
      <c r="E77" s="203"/>
      <c r="F77" s="203"/>
      <c r="G77" s="203"/>
      <c r="H77" s="203"/>
      <c r="I77" s="203"/>
      <c r="J77" s="37">
        <v>6.0000000000000001E-3</v>
      </c>
      <c r="K77" s="31">
        <f t="shared" si="0"/>
        <v>12.94026</v>
      </c>
    </row>
    <row r="78" spans="2:11">
      <c r="B78" s="29" t="s">
        <v>105</v>
      </c>
      <c r="C78" s="203" t="s">
        <v>106</v>
      </c>
      <c r="D78" s="203"/>
      <c r="E78" s="203"/>
      <c r="F78" s="203"/>
      <c r="G78" s="203"/>
      <c r="H78" s="203"/>
      <c r="I78" s="203"/>
      <c r="J78" s="37">
        <v>2E-3</v>
      </c>
      <c r="K78" s="31">
        <f t="shared" si="0"/>
        <v>4.3134199999999998</v>
      </c>
    </row>
    <row r="79" spans="2:11">
      <c r="B79" s="29" t="s">
        <v>107</v>
      </c>
      <c r="C79" s="203" t="s">
        <v>108</v>
      </c>
      <c r="D79" s="203"/>
      <c r="E79" s="203"/>
      <c r="F79" s="203"/>
      <c r="G79" s="203"/>
      <c r="H79" s="203"/>
      <c r="I79" s="203"/>
      <c r="J79" s="37">
        <v>0.08</v>
      </c>
      <c r="K79" s="31">
        <f t="shared" si="0"/>
        <v>172.5368</v>
      </c>
    </row>
    <row r="80" spans="2:11">
      <c r="B80" s="188" t="s">
        <v>88</v>
      </c>
      <c r="C80" s="188"/>
      <c r="D80" s="188"/>
      <c r="E80" s="188"/>
      <c r="F80" s="188"/>
      <c r="G80" s="188"/>
      <c r="H80" s="188"/>
      <c r="I80" s="188"/>
      <c r="J80" s="41">
        <f>SUM(J72:J79)</f>
        <v>0.36800000000000005</v>
      </c>
      <c r="K80" s="35">
        <f>SUM(K72:K79)</f>
        <v>793.66927999999996</v>
      </c>
    </row>
    <row r="81" spans="2:12">
      <c r="B81" s="186"/>
      <c r="C81" s="186"/>
      <c r="D81" s="186"/>
      <c r="E81" s="186"/>
      <c r="F81" s="186"/>
      <c r="G81" s="186"/>
      <c r="H81" s="186"/>
      <c r="I81" s="186"/>
      <c r="J81" s="186"/>
      <c r="K81" s="186"/>
    </row>
    <row r="82" spans="2:12" ht="13.8" customHeight="1">
      <c r="B82" s="198" t="s">
        <v>109</v>
      </c>
      <c r="C82" s="198"/>
      <c r="D82" s="198"/>
      <c r="E82" s="198"/>
      <c r="F82" s="198"/>
      <c r="G82" s="198"/>
      <c r="H82" s="198"/>
      <c r="I82" s="198"/>
      <c r="J82" s="198"/>
      <c r="K82" s="198"/>
    </row>
    <row r="83" spans="2:12" ht="13.8">
      <c r="B83" s="36" t="s">
        <v>110</v>
      </c>
      <c r="C83" s="204" t="s">
        <v>111</v>
      </c>
      <c r="D83" s="204"/>
      <c r="E83" s="204"/>
      <c r="F83" s="204"/>
      <c r="G83" s="204"/>
      <c r="H83" s="204"/>
      <c r="I83" s="204"/>
      <c r="J83" s="204"/>
      <c r="K83" s="21" t="s">
        <v>85</v>
      </c>
    </row>
    <row r="84" spans="2:12">
      <c r="B84" s="29" t="s">
        <v>7</v>
      </c>
      <c r="C84" s="203" t="s">
        <v>112</v>
      </c>
      <c r="D84" s="203"/>
      <c r="E84" s="203"/>
      <c r="F84" s="203"/>
      <c r="G84" s="203"/>
      <c r="H84" s="203"/>
      <c r="I84" s="203"/>
      <c r="J84" s="203"/>
      <c r="K84" s="31">
        <f>IF(ROUND((J87*J85*J86)-(K57*0.06),2)&lt;0,0,ROUND((J87*J85*J86)-(K57*0.06),2))*1+(J85*J86*21.726-0.06*K57)*0</f>
        <v>94.57</v>
      </c>
    </row>
    <row r="85" spans="2:12" ht="23.4" customHeight="1">
      <c r="B85" s="29"/>
      <c r="C85" s="201" t="s">
        <v>113</v>
      </c>
      <c r="D85" s="201"/>
      <c r="E85" s="201"/>
      <c r="F85" s="201"/>
      <c r="G85" s="201"/>
      <c r="H85" s="201"/>
      <c r="I85" s="201"/>
      <c r="J85" s="42">
        <v>4.25</v>
      </c>
      <c r="K85" s="43" t="s">
        <v>114</v>
      </c>
      <c r="L85" s="44"/>
    </row>
    <row r="86" spans="2:12">
      <c r="B86" s="29"/>
      <c r="C86" s="205" t="s">
        <v>115</v>
      </c>
      <c r="D86" s="205"/>
      <c r="E86" s="205"/>
      <c r="F86" s="205"/>
      <c r="G86" s="205"/>
      <c r="H86" s="205"/>
      <c r="I86" s="205"/>
      <c r="J86" s="45">
        <v>2</v>
      </c>
      <c r="K86" s="43"/>
    </row>
    <row r="87" spans="2:12">
      <c r="B87" s="29"/>
      <c r="C87" s="205" t="s">
        <v>116</v>
      </c>
      <c r="D87" s="205"/>
      <c r="E87" s="205"/>
      <c r="F87" s="205"/>
      <c r="G87" s="205"/>
      <c r="H87" s="205"/>
      <c r="I87" s="205"/>
      <c r="J87" s="46">
        <v>22</v>
      </c>
      <c r="K87" s="43"/>
    </row>
    <row r="88" spans="2:12">
      <c r="B88" s="29" t="s">
        <v>9</v>
      </c>
      <c r="C88" s="203" t="s">
        <v>117</v>
      </c>
      <c r="D88" s="203"/>
      <c r="E88" s="203"/>
      <c r="F88" s="203"/>
      <c r="G88" s="203"/>
      <c r="H88" s="203"/>
      <c r="I88" s="203"/>
      <c r="J88" s="203"/>
      <c r="K88" s="31">
        <f>ROUND(J90*J89*(1-0.19),2)*1+ROUND(21.726*6*(1-0.19),2)*0</f>
        <v>421.98</v>
      </c>
    </row>
    <row r="89" spans="2:12">
      <c r="B89" s="29"/>
      <c r="C89" s="206" t="s">
        <v>118</v>
      </c>
      <c r="D89" s="206"/>
      <c r="E89" s="206"/>
      <c r="F89" s="206"/>
      <c r="G89" s="206"/>
      <c r="H89" s="206"/>
      <c r="I89" s="206"/>
      <c r="J89" s="42">
        <v>23.68</v>
      </c>
      <c r="K89" s="43" t="s">
        <v>114</v>
      </c>
    </row>
    <row r="90" spans="2:12">
      <c r="B90" s="48"/>
      <c r="C90" s="206" t="s">
        <v>119</v>
      </c>
      <c r="D90" s="206"/>
      <c r="E90" s="206"/>
      <c r="F90" s="206"/>
      <c r="G90" s="206"/>
      <c r="H90" s="206"/>
      <c r="I90" s="206"/>
      <c r="J90" s="46">
        <v>22</v>
      </c>
      <c r="K90" s="43"/>
    </row>
    <row r="91" spans="2:12" ht="15" customHeight="1">
      <c r="B91" s="93" t="s">
        <v>12</v>
      </c>
      <c r="C91" s="159" t="s">
        <v>253</v>
      </c>
      <c r="D91" s="159"/>
      <c r="E91" s="159"/>
      <c r="F91" s="159"/>
      <c r="G91" s="159"/>
      <c r="H91" s="159"/>
      <c r="I91" s="159"/>
      <c r="J91" s="159"/>
      <c r="K91" s="49">
        <v>19.420000000000002</v>
      </c>
      <c r="L91" s="26"/>
    </row>
    <row r="92" spans="2:12" ht="12.75" customHeight="1">
      <c r="B92" s="29" t="s">
        <v>15</v>
      </c>
      <c r="C92" s="159" t="s">
        <v>121</v>
      </c>
      <c r="D92" s="159"/>
      <c r="E92" s="159"/>
      <c r="F92" s="159"/>
      <c r="G92" s="159"/>
      <c r="H92" s="159"/>
      <c r="I92" s="159"/>
      <c r="J92" s="159"/>
      <c r="K92" s="94"/>
    </row>
    <row r="93" spans="2:12">
      <c r="B93" s="188" t="s">
        <v>80</v>
      </c>
      <c r="C93" s="188"/>
      <c r="D93" s="188"/>
      <c r="E93" s="188"/>
      <c r="F93" s="188"/>
      <c r="G93" s="188"/>
      <c r="H93" s="188"/>
      <c r="I93" s="188"/>
      <c r="J93" s="188"/>
      <c r="K93" s="35">
        <f>SUM(K84:K92)</f>
        <v>535.96999999999991</v>
      </c>
    </row>
    <row r="94" spans="2:12">
      <c r="B94" s="186"/>
      <c r="C94" s="186"/>
      <c r="D94" s="186"/>
      <c r="E94" s="186"/>
      <c r="F94" s="186"/>
      <c r="G94" s="186"/>
      <c r="H94" s="186"/>
      <c r="I94" s="186"/>
      <c r="J94" s="186"/>
      <c r="K94" s="186"/>
    </row>
    <row r="95" spans="2:12" ht="13.8" customHeight="1">
      <c r="B95" s="198" t="s">
        <v>122</v>
      </c>
      <c r="C95" s="198"/>
      <c r="D95" s="198"/>
      <c r="E95" s="198"/>
      <c r="F95" s="198"/>
      <c r="G95" s="198"/>
      <c r="H95" s="198"/>
      <c r="I95" s="198"/>
      <c r="J95" s="198"/>
      <c r="K95" s="198"/>
    </row>
    <row r="96" spans="2:12" ht="13.8" customHeight="1">
      <c r="B96" s="21">
        <v>2</v>
      </c>
      <c r="C96" s="193" t="s">
        <v>123</v>
      </c>
      <c r="D96" s="193"/>
      <c r="E96" s="193"/>
      <c r="F96" s="193"/>
      <c r="G96" s="193"/>
      <c r="H96" s="193"/>
      <c r="I96" s="193"/>
      <c r="J96" s="193"/>
      <c r="K96" s="21" t="s">
        <v>85</v>
      </c>
    </row>
    <row r="97" spans="2:11" ht="12.75" customHeight="1">
      <c r="B97" s="5" t="s">
        <v>83</v>
      </c>
      <c r="C97" s="5"/>
      <c r="D97" s="159" t="s">
        <v>124</v>
      </c>
      <c r="E97" s="159"/>
      <c r="F97" s="159"/>
      <c r="G97" s="159"/>
      <c r="H97" s="159"/>
      <c r="I97" s="159"/>
      <c r="J97" s="159"/>
      <c r="K97" s="49">
        <f>K68</f>
        <v>335.01556724400001</v>
      </c>
    </row>
    <row r="98" spans="2:11" ht="12.75" customHeight="1">
      <c r="B98" s="5" t="s">
        <v>91</v>
      </c>
      <c r="C98" s="5"/>
      <c r="D98" s="159" t="s">
        <v>92</v>
      </c>
      <c r="E98" s="159"/>
      <c r="F98" s="159"/>
      <c r="G98" s="159"/>
      <c r="H98" s="159"/>
      <c r="I98" s="159"/>
      <c r="J98" s="159"/>
      <c r="K98" s="49">
        <f>K80</f>
        <v>793.66927999999996</v>
      </c>
    </row>
    <row r="99" spans="2:11" ht="12.75" customHeight="1">
      <c r="B99" s="5" t="s">
        <v>110</v>
      </c>
      <c r="C99" s="5"/>
      <c r="D99" s="159" t="s">
        <v>111</v>
      </c>
      <c r="E99" s="159"/>
      <c r="F99" s="159"/>
      <c r="G99" s="159"/>
      <c r="H99" s="159"/>
      <c r="I99" s="159"/>
      <c r="J99" s="159"/>
      <c r="K99" s="49">
        <f>K93</f>
        <v>535.96999999999991</v>
      </c>
    </row>
    <row r="100" spans="2:11" ht="12.75" customHeight="1">
      <c r="B100" s="184" t="s">
        <v>88</v>
      </c>
      <c r="C100" s="184"/>
      <c r="D100" s="184"/>
      <c r="E100" s="184"/>
      <c r="F100" s="184"/>
      <c r="G100" s="184"/>
      <c r="H100" s="184"/>
      <c r="I100" s="184"/>
      <c r="J100" s="184"/>
      <c r="K100" s="50">
        <f>SUM(K97+K98+K99)</f>
        <v>1664.6548472439999</v>
      </c>
    </row>
    <row r="101" spans="2:11">
      <c r="B101" s="186"/>
      <c r="C101" s="186"/>
      <c r="D101" s="186"/>
      <c r="E101" s="186"/>
      <c r="F101" s="186"/>
      <c r="G101" s="186"/>
      <c r="H101" s="186"/>
      <c r="I101" s="186"/>
      <c r="J101" s="186"/>
      <c r="K101" s="186"/>
    </row>
    <row r="102" spans="2:11" ht="13.8" customHeight="1">
      <c r="B102" s="198" t="s">
        <v>125</v>
      </c>
      <c r="C102" s="198"/>
      <c r="D102" s="198"/>
      <c r="E102" s="198"/>
      <c r="F102" s="198"/>
      <c r="G102" s="198"/>
      <c r="H102" s="198"/>
      <c r="I102" s="198"/>
      <c r="J102" s="198"/>
      <c r="K102" s="198"/>
    </row>
    <row r="103" spans="2:11" ht="13.8" customHeight="1">
      <c r="B103" s="36">
        <v>3</v>
      </c>
      <c r="C103" s="193" t="s">
        <v>126</v>
      </c>
      <c r="D103" s="193"/>
      <c r="E103" s="193"/>
      <c r="F103" s="193"/>
      <c r="G103" s="193"/>
      <c r="H103" s="193"/>
      <c r="I103" s="193"/>
      <c r="J103" s="193"/>
      <c r="K103" s="36" t="s">
        <v>127</v>
      </c>
    </row>
    <row r="104" spans="2:11" ht="57.45" customHeight="1">
      <c r="B104" s="29" t="s">
        <v>7</v>
      </c>
      <c r="C104" s="159" t="s">
        <v>254</v>
      </c>
      <c r="D104" s="159"/>
      <c r="E104" s="159"/>
      <c r="F104" s="159"/>
      <c r="G104" s="159"/>
      <c r="H104" s="159"/>
      <c r="I104" s="159"/>
      <c r="J104" s="159"/>
      <c r="K104" s="31">
        <f>(($K$59/I10)+($K$64/I10)+($K$59/12/I10)+($K$65/I10))*(45/30)*0.05</f>
        <v>3.2266628172916669</v>
      </c>
    </row>
    <row r="105" spans="2:11" ht="12.75" customHeight="1">
      <c r="B105" s="29" t="s">
        <v>9</v>
      </c>
      <c r="C105" s="159" t="s">
        <v>129</v>
      </c>
      <c r="D105" s="159"/>
      <c r="E105" s="159"/>
      <c r="F105" s="159"/>
      <c r="G105" s="159"/>
      <c r="H105" s="159"/>
      <c r="I105" s="159"/>
      <c r="J105" s="159"/>
      <c r="K105" s="31">
        <f>$K$104*J79</f>
        <v>0.25813302538333338</v>
      </c>
    </row>
    <row r="106" spans="2:11" ht="34.65" customHeight="1">
      <c r="B106" s="29" t="s">
        <v>15</v>
      </c>
      <c r="C106" s="159" t="s">
        <v>255</v>
      </c>
      <c r="D106" s="159"/>
      <c r="E106" s="159"/>
      <c r="F106" s="159"/>
      <c r="G106" s="159"/>
      <c r="H106" s="159"/>
      <c r="I106" s="159"/>
      <c r="J106" s="159"/>
      <c r="K106" s="31">
        <f>((($K$59/30)*7)/$I$10)*0.9</f>
        <v>7.5484849999999994</v>
      </c>
    </row>
    <row r="107" spans="2:11" ht="12.75" customHeight="1">
      <c r="B107" s="29" t="s">
        <v>101</v>
      </c>
      <c r="C107" s="159" t="s">
        <v>131</v>
      </c>
      <c r="D107" s="159"/>
      <c r="E107" s="159"/>
      <c r="F107" s="159"/>
      <c r="G107" s="159"/>
      <c r="H107" s="159"/>
      <c r="I107" s="159"/>
      <c r="J107" s="159"/>
      <c r="K107" s="31">
        <f>$J$80*K106</f>
        <v>2.7778424800000003</v>
      </c>
    </row>
    <row r="108" spans="2:11" ht="32.549999999999997" customHeight="1">
      <c r="B108" s="29" t="s">
        <v>103</v>
      </c>
      <c r="C108" s="159" t="s">
        <v>256</v>
      </c>
      <c r="D108" s="159"/>
      <c r="E108" s="159"/>
      <c r="F108" s="159"/>
      <c r="G108" s="159"/>
      <c r="H108" s="159"/>
      <c r="I108" s="159"/>
      <c r="J108" s="52">
        <v>0.04</v>
      </c>
      <c r="K108" s="31">
        <f>$K$59*J108</f>
        <v>86.2684</v>
      </c>
    </row>
    <row r="109" spans="2:11">
      <c r="B109" s="188" t="s">
        <v>88</v>
      </c>
      <c r="C109" s="188"/>
      <c r="D109" s="188"/>
      <c r="E109" s="188"/>
      <c r="F109" s="188"/>
      <c r="G109" s="188"/>
      <c r="H109" s="188"/>
      <c r="I109" s="188"/>
      <c r="J109" s="188"/>
      <c r="K109" s="35">
        <f>SUM(K104:K108)</f>
        <v>100.079523322675</v>
      </c>
    </row>
    <row r="110" spans="2:11">
      <c r="B110" s="186"/>
      <c r="C110" s="186"/>
      <c r="D110" s="186"/>
      <c r="E110" s="186"/>
      <c r="F110" s="186"/>
      <c r="G110" s="186"/>
      <c r="H110" s="186"/>
      <c r="I110" s="186"/>
      <c r="J110" s="186"/>
      <c r="K110" s="186"/>
    </row>
    <row r="111" spans="2:11" ht="13.8" customHeight="1">
      <c r="B111" s="198" t="s">
        <v>133</v>
      </c>
      <c r="C111" s="198"/>
      <c r="D111" s="198"/>
      <c r="E111" s="198"/>
      <c r="F111" s="198"/>
      <c r="G111" s="198"/>
      <c r="H111" s="198"/>
      <c r="I111" s="198"/>
      <c r="J111" s="198"/>
      <c r="K111" s="198"/>
    </row>
    <row r="112" spans="2:11" ht="26.25" customHeight="1">
      <c r="B112" s="207" t="s">
        <v>134</v>
      </c>
      <c r="C112" s="207"/>
      <c r="D112" s="207"/>
      <c r="E112" s="207"/>
      <c r="F112" s="207"/>
      <c r="G112" s="207"/>
      <c r="H112" s="207"/>
      <c r="I112" s="207"/>
      <c r="J112" s="207"/>
      <c r="K112" s="53">
        <f>K115+K59+K64+K65</f>
        <v>2597.3258529999998</v>
      </c>
    </row>
    <row r="113" spans="2:11"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</row>
    <row r="114" spans="2:11" ht="13.8">
      <c r="B114" s="54" t="s">
        <v>135</v>
      </c>
      <c r="C114" s="204" t="s">
        <v>136</v>
      </c>
      <c r="D114" s="204"/>
      <c r="E114" s="204"/>
      <c r="F114" s="204"/>
      <c r="G114" s="204"/>
      <c r="H114" s="204"/>
      <c r="I114" s="204"/>
      <c r="J114" s="204"/>
      <c r="K114" s="54" t="s">
        <v>85</v>
      </c>
    </row>
    <row r="115" spans="2:11" ht="12.75" customHeight="1">
      <c r="B115" s="33" t="s">
        <v>7</v>
      </c>
      <c r="C115" s="159" t="s">
        <v>137</v>
      </c>
      <c r="D115" s="159"/>
      <c r="E115" s="159"/>
      <c r="F115" s="159"/>
      <c r="G115" s="159"/>
      <c r="H115" s="159"/>
      <c r="I115" s="159"/>
      <c r="J115" s="32">
        <v>9.0749999999999997E-2</v>
      </c>
      <c r="K115" s="31">
        <f>($K$59*J115)</f>
        <v>195.72143249999999</v>
      </c>
    </row>
    <row r="116" spans="2:11">
      <c r="B116" s="33" t="s">
        <v>9</v>
      </c>
      <c r="C116" s="208" t="s">
        <v>138</v>
      </c>
      <c r="D116" s="208"/>
      <c r="E116" s="208"/>
      <c r="F116" s="208"/>
      <c r="G116" s="208"/>
      <c r="H116" s="208"/>
      <c r="I116" s="208"/>
      <c r="J116" s="208"/>
      <c r="K116" s="55">
        <f>(($K$112/30)*2.96)/I10</f>
        <v>4.2711580693777771</v>
      </c>
    </row>
    <row r="117" spans="2:11">
      <c r="B117" s="33" t="s">
        <v>12</v>
      </c>
      <c r="C117" s="208" t="s">
        <v>139</v>
      </c>
      <c r="D117" s="208"/>
      <c r="E117" s="208"/>
      <c r="F117" s="208"/>
      <c r="G117" s="208"/>
      <c r="H117" s="208"/>
      <c r="I117" s="208"/>
      <c r="J117" s="208"/>
      <c r="K117" s="55">
        <f>(($K$112/30)*5)/I10*0.015</f>
        <v>0.10822191054166666</v>
      </c>
    </row>
    <row r="118" spans="2:11">
      <c r="B118" s="33" t="s">
        <v>15</v>
      </c>
      <c r="C118" s="208" t="s">
        <v>140</v>
      </c>
      <c r="D118" s="208"/>
      <c r="E118" s="208"/>
      <c r="F118" s="208"/>
      <c r="G118" s="208"/>
      <c r="H118" s="208"/>
      <c r="I118" s="208"/>
      <c r="J118" s="208"/>
      <c r="K118" s="34">
        <f>((($K$112/30)*15)/I10)*0.0078</f>
        <v>0.16882618044499997</v>
      </c>
    </row>
    <row r="119" spans="2:11">
      <c r="B119" s="33" t="s">
        <v>101</v>
      </c>
      <c r="C119" s="208" t="s">
        <v>141</v>
      </c>
      <c r="D119" s="208"/>
      <c r="E119" s="208"/>
      <c r="F119" s="208"/>
      <c r="G119" s="208"/>
      <c r="H119" s="208"/>
      <c r="I119" s="208"/>
      <c r="J119" s="208"/>
      <c r="K119" s="31">
        <f>((($K$59+$K$59/3)*4/12)/I10)*0.02</f>
        <v>0.31951259259259257</v>
      </c>
    </row>
    <row r="120" spans="2:11">
      <c r="B120" s="33" t="s">
        <v>103</v>
      </c>
      <c r="C120" s="208" t="s">
        <v>142</v>
      </c>
      <c r="D120" s="208"/>
      <c r="E120" s="208"/>
      <c r="F120" s="208"/>
      <c r="G120" s="208"/>
      <c r="H120" s="208"/>
      <c r="I120" s="208"/>
      <c r="J120" s="208"/>
      <c r="K120" s="34">
        <f>((($K$112/30)*5)/I10)</f>
        <v>7.2147940361111109</v>
      </c>
    </row>
    <row r="121" spans="2:11">
      <c r="B121" s="188" t="s">
        <v>88</v>
      </c>
      <c r="C121" s="188"/>
      <c r="D121" s="188"/>
      <c r="E121" s="188"/>
      <c r="F121" s="188"/>
      <c r="G121" s="188"/>
      <c r="H121" s="188"/>
      <c r="I121" s="188"/>
      <c r="J121" s="188"/>
      <c r="K121" s="56">
        <f>SUM(K115:K120)</f>
        <v>207.80394528906811</v>
      </c>
    </row>
    <row r="122" spans="2:11">
      <c r="B122" s="33" t="s">
        <v>105</v>
      </c>
      <c r="C122" s="203" t="s">
        <v>143</v>
      </c>
      <c r="D122" s="203"/>
      <c r="E122" s="203"/>
      <c r="F122" s="203"/>
      <c r="G122" s="203"/>
      <c r="H122" s="203"/>
      <c r="I122" s="203"/>
      <c r="J122" s="203"/>
      <c r="K122" s="34">
        <f>J80*K121</f>
        <v>76.471851866377079</v>
      </c>
    </row>
    <row r="123" spans="2:11">
      <c r="B123" s="188" t="s">
        <v>88</v>
      </c>
      <c r="C123" s="188"/>
      <c r="D123" s="188"/>
      <c r="E123" s="188"/>
      <c r="F123" s="188"/>
      <c r="G123" s="188"/>
      <c r="H123" s="188"/>
      <c r="I123" s="188"/>
      <c r="J123" s="188"/>
      <c r="K123" s="35">
        <f>SUM(K121:K122)</f>
        <v>284.27579715544516</v>
      </c>
    </row>
    <row r="124" spans="2:11" ht="13.8" customHeight="1">
      <c r="B124" s="198" t="s">
        <v>144</v>
      </c>
      <c r="C124" s="198"/>
      <c r="D124" s="198"/>
      <c r="E124" s="198"/>
      <c r="F124" s="198"/>
      <c r="G124" s="198"/>
      <c r="H124" s="198"/>
      <c r="I124" s="198"/>
      <c r="J124" s="198"/>
      <c r="K124" s="198"/>
    </row>
    <row r="125" spans="2:11" ht="13.8">
      <c r="B125" s="36" t="s">
        <v>145</v>
      </c>
      <c r="C125" s="204" t="s">
        <v>146</v>
      </c>
      <c r="D125" s="204"/>
      <c r="E125" s="204"/>
      <c r="F125" s="204"/>
      <c r="G125" s="204"/>
      <c r="H125" s="204"/>
      <c r="I125" s="204"/>
      <c r="J125" s="204"/>
      <c r="K125" s="57" t="s">
        <v>85</v>
      </c>
    </row>
    <row r="126" spans="2:11">
      <c r="B126" s="29" t="s">
        <v>7</v>
      </c>
      <c r="C126" s="203" t="s">
        <v>147</v>
      </c>
      <c r="D126" s="203"/>
      <c r="E126" s="203"/>
      <c r="F126" s="203"/>
      <c r="G126" s="203"/>
      <c r="H126" s="203"/>
      <c r="I126" s="203"/>
      <c r="J126" s="203"/>
      <c r="K126" s="20">
        <v>0</v>
      </c>
    </row>
    <row r="127" spans="2:11">
      <c r="B127" s="202" t="s">
        <v>88</v>
      </c>
      <c r="C127" s="202"/>
      <c r="D127" s="202"/>
      <c r="E127" s="202"/>
      <c r="F127" s="202"/>
      <c r="G127" s="202"/>
      <c r="H127" s="202"/>
      <c r="I127" s="202"/>
      <c r="J127" s="202"/>
      <c r="K127" s="20">
        <v>0</v>
      </c>
    </row>
    <row r="128" spans="2:11">
      <c r="B128" s="33" t="s">
        <v>9</v>
      </c>
      <c r="C128" s="203" t="s">
        <v>148</v>
      </c>
      <c r="D128" s="203"/>
      <c r="E128" s="203"/>
      <c r="F128" s="203"/>
      <c r="G128" s="203"/>
      <c r="H128" s="203"/>
      <c r="I128" s="203"/>
      <c r="J128" s="203"/>
      <c r="K128" s="58">
        <f>ROUND(J80*K127,2)</f>
        <v>0</v>
      </c>
    </row>
    <row r="129" spans="2:12">
      <c r="B129" s="188" t="s">
        <v>88</v>
      </c>
      <c r="C129" s="188"/>
      <c r="D129" s="188"/>
      <c r="E129" s="188"/>
      <c r="F129" s="188"/>
      <c r="G129" s="188"/>
      <c r="H129" s="188"/>
      <c r="I129" s="188"/>
      <c r="J129" s="188"/>
      <c r="K129" s="59">
        <f>SUM(K127:K128)</f>
        <v>0</v>
      </c>
    </row>
    <row r="130" spans="2:12">
      <c r="B130" s="190"/>
      <c r="C130" s="190"/>
      <c r="D130" s="190"/>
      <c r="E130" s="190"/>
      <c r="F130" s="190"/>
      <c r="G130" s="190"/>
      <c r="H130" s="190"/>
      <c r="I130" s="190"/>
      <c r="J130" s="190"/>
      <c r="K130" s="190"/>
    </row>
    <row r="131" spans="2:12" ht="13.8" customHeight="1">
      <c r="B131" s="198" t="s">
        <v>149</v>
      </c>
      <c r="C131" s="198"/>
      <c r="D131" s="198"/>
      <c r="E131" s="198"/>
      <c r="F131" s="198"/>
      <c r="G131" s="198"/>
      <c r="H131" s="198"/>
      <c r="I131" s="198"/>
      <c r="J131" s="198"/>
      <c r="K131" s="198"/>
    </row>
    <row r="132" spans="2:12" ht="13.8" customHeight="1">
      <c r="B132" s="21">
        <v>4</v>
      </c>
      <c r="C132" s="193" t="s">
        <v>150</v>
      </c>
      <c r="D132" s="193"/>
      <c r="E132" s="193"/>
      <c r="F132" s="193"/>
      <c r="G132" s="193"/>
      <c r="H132" s="193"/>
      <c r="I132" s="193"/>
      <c r="J132" s="193"/>
      <c r="K132" s="57" t="s">
        <v>85</v>
      </c>
    </row>
    <row r="133" spans="2:12" ht="12.75" customHeight="1">
      <c r="B133" s="5" t="s">
        <v>135</v>
      </c>
      <c r="C133" s="159" t="s">
        <v>136</v>
      </c>
      <c r="D133" s="159"/>
      <c r="E133" s="159"/>
      <c r="F133" s="159"/>
      <c r="G133" s="159"/>
      <c r="H133" s="159"/>
      <c r="I133" s="159"/>
      <c r="J133" s="159"/>
      <c r="K133" s="31">
        <f>K123</f>
        <v>284.27579715544516</v>
      </c>
    </row>
    <row r="134" spans="2:12" ht="12.75" customHeight="1">
      <c r="B134" s="5" t="s">
        <v>151</v>
      </c>
      <c r="C134" s="159" t="s">
        <v>146</v>
      </c>
      <c r="D134" s="159"/>
      <c r="E134" s="159"/>
      <c r="F134" s="159"/>
      <c r="G134" s="159"/>
      <c r="H134" s="159"/>
      <c r="I134" s="159"/>
      <c r="J134" s="159"/>
      <c r="K134" s="31">
        <f>K129</f>
        <v>0</v>
      </c>
    </row>
    <row r="135" spans="2:12" ht="12.75" customHeight="1">
      <c r="B135" s="184" t="s">
        <v>88</v>
      </c>
      <c r="C135" s="184"/>
      <c r="D135" s="184"/>
      <c r="E135" s="184"/>
      <c r="F135" s="184"/>
      <c r="G135" s="184"/>
      <c r="H135" s="184"/>
      <c r="I135" s="184"/>
      <c r="J135" s="184"/>
      <c r="K135" s="35">
        <f>SUM(K133+K134)</f>
        <v>284.27579715544516</v>
      </c>
    </row>
    <row r="136" spans="2:12">
      <c r="B136" s="186"/>
      <c r="C136" s="186"/>
      <c r="D136" s="186"/>
      <c r="E136" s="186"/>
      <c r="F136" s="186"/>
      <c r="G136" s="186"/>
      <c r="H136" s="186"/>
      <c r="I136" s="186"/>
      <c r="J136" s="186"/>
      <c r="K136" s="186"/>
    </row>
    <row r="137" spans="2:12" ht="13.8" customHeight="1">
      <c r="B137" s="198" t="s">
        <v>152</v>
      </c>
      <c r="C137" s="198"/>
      <c r="D137" s="198"/>
      <c r="E137" s="198"/>
      <c r="F137" s="198"/>
      <c r="G137" s="198"/>
      <c r="H137" s="198"/>
      <c r="I137" s="198"/>
      <c r="J137" s="198"/>
      <c r="K137" s="198"/>
    </row>
    <row r="138" spans="2:12" ht="13.8">
      <c r="B138" s="36">
        <v>5</v>
      </c>
      <c r="C138" s="204" t="s">
        <v>153</v>
      </c>
      <c r="D138" s="204"/>
      <c r="E138" s="204"/>
      <c r="F138" s="204"/>
      <c r="G138" s="204"/>
      <c r="H138" s="204"/>
      <c r="I138" s="204"/>
      <c r="J138" s="204"/>
      <c r="K138" s="36" t="s">
        <v>85</v>
      </c>
    </row>
    <row r="139" spans="2:12">
      <c r="B139" s="29" t="s">
        <v>7</v>
      </c>
      <c r="C139" s="203" t="s">
        <v>154</v>
      </c>
      <c r="D139" s="203"/>
      <c r="E139" s="203"/>
      <c r="F139" s="203"/>
      <c r="G139" s="203"/>
      <c r="H139" s="203"/>
      <c r="I139" s="203"/>
      <c r="J139" s="203"/>
      <c r="K139" s="31">
        <f>INSUMOS!G97</f>
        <v>48.998333333333328</v>
      </c>
    </row>
    <row r="140" spans="2:12" ht="15.6">
      <c r="B140" s="29" t="s">
        <v>9</v>
      </c>
      <c r="C140" s="203" t="s">
        <v>155</v>
      </c>
      <c r="D140" s="203"/>
      <c r="E140" s="203"/>
      <c r="F140" s="203"/>
      <c r="G140" s="203"/>
      <c r="H140" s="203"/>
      <c r="I140" s="203"/>
      <c r="J140" s="203"/>
      <c r="K140" s="49">
        <f>INSUMOS!G93</f>
        <v>975.26166666666677</v>
      </c>
      <c r="L140" s="26"/>
    </row>
    <row r="141" spans="2:12">
      <c r="B141" s="29" t="s">
        <v>12</v>
      </c>
      <c r="C141" s="203" t="s">
        <v>156</v>
      </c>
      <c r="D141" s="203"/>
      <c r="E141" s="203"/>
      <c r="F141" s="203"/>
      <c r="G141" s="203"/>
      <c r="H141" s="203"/>
      <c r="I141" s="203"/>
      <c r="J141" s="203"/>
      <c r="K141" s="49">
        <f>INSUMOS!G95</f>
        <v>27.415731481481483</v>
      </c>
    </row>
    <row r="142" spans="2:12">
      <c r="B142" s="29" t="s">
        <v>15</v>
      </c>
      <c r="C142" s="203" t="s">
        <v>121</v>
      </c>
      <c r="D142" s="203"/>
      <c r="E142" s="203"/>
      <c r="F142" s="203"/>
      <c r="G142" s="203"/>
      <c r="H142" s="203"/>
      <c r="I142" s="203"/>
      <c r="J142" s="203"/>
      <c r="K142" s="49">
        <v>0</v>
      </c>
    </row>
    <row r="143" spans="2:12">
      <c r="B143" s="188" t="s">
        <v>80</v>
      </c>
      <c r="C143" s="188"/>
      <c r="D143" s="188"/>
      <c r="E143" s="188"/>
      <c r="F143" s="188"/>
      <c r="G143" s="188"/>
      <c r="H143" s="188"/>
      <c r="I143" s="188"/>
      <c r="J143" s="188"/>
      <c r="K143" s="50">
        <f>SUM(K139:K142)</f>
        <v>1051.6757314814815</v>
      </c>
    </row>
    <row r="144" spans="2:12">
      <c r="B144" s="186"/>
      <c r="C144" s="186"/>
      <c r="D144" s="186"/>
      <c r="E144" s="186"/>
      <c r="F144" s="186"/>
      <c r="G144" s="186"/>
      <c r="H144" s="186"/>
      <c r="I144" s="186"/>
      <c r="J144" s="186"/>
      <c r="K144" s="186"/>
    </row>
    <row r="145" spans="2:11" ht="13.8" customHeight="1">
      <c r="B145" s="198" t="s">
        <v>157</v>
      </c>
      <c r="C145" s="198"/>
      <c r="D145" s="198"/>
      <c r="E145" s="198"/>
      <c r="F145" s="198"/>
      <c r="G145" s="198"/>
      <c r="H145" s="198"/>
      <c r="I145" s="198"/>
      <c r="J145" s="198"/>
      <c r="K145" s="198"/>
    </row>
    <row r="146" spans="2:11" ht="27.6">
      <c r="B146" s="36">
        <v>6</v>
      </c>
      <c r="C146" s="204" t="s">
        <v>158</v>
      </c>
      <c r="D146" s="204"/>
      <c r="E146" s="204"/>
      <c r="F146" s="204"/>
      <c r="G146" s="204"/>
      <c r="H146" s="204"/>
      <c r="I146" s="204"/>
      <c r="J146" s="21" t="s">
        <v>93</v>
      </c>
      <c r="K146" s="64" t="s">
        <v>94</v>
      </c>
    </row>
    <row r="147" spans="2:11" ht="12.75" customHeight="1">
      <c r="B147" s="201" t="s">
        <v>159</v>
      </c>
      <c r="C147" s="201"/>
      <c r="D147" s="201"/>
      <c r="E147" s="201"/>
      <c r="F147" s="201"/>
      <c r="G147" s="201"/>
      <c r="H147" s="201"/>
      <c r="I147" s="201"/>
      <c r="J147" s="65" t="s">
        <v>114</v>
      </c>
      <c r="K147" s="31">
        <f>SUM(K59+K100+K109+K135+K143)</f>
        <v>5257.3958992036014</v>
      </c>
    </row>
    <row r="148" spans="2:11" ht="15.6">
      <c r="B148" s="66" t="s">
        <v>7</v>
      </c>
      <c r="C148" s="210" t="s">
        <v>160</v>
      </c>
      <c r="D148" s="210"/>
      <c r="E148" s="210"/>
      <c r="F148" s="210"/>
      <c r="G148" s="210"/>
      <c r="H148" s="210"/>
      <c r="I148" s="210"/>
      <c r="J148" s="37">
        <v>0.05</v>
      </c>
      <c r="K148" s="31">
        <f>J148*K147</f>
        <v>262.86979496018006</v>
      </c>
    </row>
    <row r="149" spans="2:11" ht="12.75" customHeight="1">
      <c r="B149" s="201" t="s">
        <v>161</v>
      </c>
      <c r="C149" s="201"/>
      <c r="D149" s="201"/>
      <c r="E149" s="201"/>
      <c r="F149" s="201"/>
      <c r="G149" s="201"/>
      <c r="H149" s="201"/>
      <c r="I149" s="201"/>
      <c r="J149" s="67" t="s">
        <v>114</v>
      </c>
      <c r="K149" s="31">
        <f>SUM(K59+K100+K109+K135+K143+K148)</f>
        <v>5520.2656941637815</v>
      </c>
    </row>
    <row r="150" spans="2:11" ht="15.6">
      <c r="B150" s="66" t="s">
        <v>9</v>
      </c>
      <c r="C150" s="210" t="s">
        <v>162</v>
      </c>
      <c r="D150" s="210"/>
      <c r="E150" s="210"/>
      <c r="F150" s="210"/>
      <c r="G150" s="210"/>
      <c r="H150" s="210"/>
      <c r="I150" s="210"/>
      <c r="J150" s="37">
        <v>0.1</v>
      </c>
      <c r="K150" s="31">
        <f>J150*K149</f>
        <v>552.02656941637815</v>
      </c>
    </row>
    <row r="151" spans="2:11" ht="12.75" customHeight="1">
      <c r="B151" s="201" t="s">
        <v>163</v>
      </c>
      <c r="C151" s="201"/>
      <c r="D151" s="201"/>
      <c r="E151" s="201"/>
      <c r="F151" s="201"/>
      <c r="G151" s="201"/>
      <c r="H151" s="201"/>
      <c r="I151" s="201"/>
      <c r="J151" s="67" t="s">
        <v>114</v>
      </c>
      <c r="K151" s="31">
        <f>SUM(K59+K100+K109+K135+K143+K148+K150)</f>
        <v>6072.2922635801597</v>
      </c>
    </row>
    <row r="152" spans="2:11" ht="15.6">
      <c r="B152" s="66" t="s">
        <v>12</v>
      </c>
      <c r="C152" s="210" t="s">
        <v>164</v>
      </c>
      <c r="D152" s="210"/>
      <c r="E152" s="210"/>
      <c r="F152" s="210"/>
      <c r="G152" s="210"/>
      <c r="H152" s="210"/>
      <c r="I152" s="210"/>
      <c r="J152" s="30" t="s">
        <v>114</v>
      </c>
      <c r="K152" s="43" t="s">
        <v>114</v>
      </c>
    </row>
    <row r="153" spans="2:11">
      <c r="B153" s="29"/>
      <c r="C153" s="203" t="s">
        <v>165</v>
      </c>
      <c r="D153" s="203"/>
      <c r="E153" s="203"/>
      <c r="F153" s="203"/>
      <c r="G153" s="203"/>
      <c r="H153" s="203"/>
      <c r="I153" s="203"/>
      <c r="J153" s="30" t="s">
        <v>114</v>
      </c>
      <c r="K153" s="43" t="s">
        <v>114</v>
      </c>
    </row>
    <row r="154" spans="2:11">
      <c r="B154" s="29"/>
      <c r="C154" s="203" t="s">
        <v>166</v>
      </c>
      <c r="D154" s="203"/>
      <c r="E154" s="203"/>
      <c r="F154" s="203"/>
      <c r="G154" s="203"/>
      <c r="H154" s="203"/>
      <c r="I154" s="203"/>
      <c r="J154" s="68">
        <v>7.5999999999999998E-2</v>
      </c>
      <c r="K154" s="31">
        <f>($K$151/(1-$J$163))*J154</f>
        <v>525.9193299511021</v>
      </c>
    </row>
    <row r="155" spans="2:11">
      <c r="B155" s="29"/>
      <c r="C155" s="203" t="s">
        <v>167</v>
      </c>
      <c r="D155" s="203"/>
      <c r="E155" s="203"/>
      <c r="F155" s="203"/>
      <c r="G155" s="203"/>
      <c r="H155" s="203"/>
      <c r="I155" s="203"/>
      <c r="J155" s="68">
        <v>1.6500000000000001E-2</v>
      </c>
      <c r="K155" s="31">
        <f>($K$151/(1-$J$163))*J155</f>
        <v>114.17985452885772</v>
      </c>
    </row>
    <row r="156" spans="2:11" ht="12.75" customHeight="1">
      <c r="B156" s="29"/>
      <c r="C156" s="159" t="s">
        <v>168</v>
      </c>
      <c r="D156" s="159"/>
      <c r="E156" s="159"/>
      <c r="F156" s="159"/>
      <c r="G156" s="159"/>
      <c r="H156" s="159"/>
      <c r="I156" s="159"/>
      <c r="J156" s="69" t="s">
        <v>114</v>
      </c>
      <c r="K156" s="43" t="s">
        <v>114</v>
      </c>
    </row>
    <row r="157" spans="2:11" ht="12.75" customHeight="1">
      <c r="B157" s="29"/>
      <c r="C157" s="159" t="s">
        <v>169</v>
      </c>
      <c r="D157" s="159"/>
      <c r="E157" s="159"/>
      <c r="F157" s="159"/>
      <c r="G157" s="159"/>
      <c r="H157" s="159"/>
      <c r="I157" s="159"/>
      <c r="J157" s="69" t="s">
        <v>114</v>
      </c>
      <c r="K157" s="43" t="s">
        <v>114</v>
      </c>
    </row>
    <row r="158" spans="2:11">
      <c r="B158" s="29"/>
      <c r="C158" s="203" t="s">
        <v>170</v>
      </c>
      <c r="D158" s="203"/>
      <c r="E158" s="203"/>
      <c r="F158" s="203"/>
      <c r="G158" s="203"/>
      <c r="H158" s="203"/>
      <c r="I158" s="203"/>
      <c r="J158" s="69" t="s">
        <v>114</v>
      </c>
      <c r="K158" s="43" t="s">
        <v>114</v>
      </c>
    </row>
    <row r="159" spans="2:11">
      <c r="B159" s="29"/>
      <c r="C159" s="203" t="s">
        <v>171</v>
      </c>
      <c r="D159" s="203"/>
      <c r="E159" s="203"/>
      <c r="F159" s="203"/>
      <c r="G159" s="203"/>
      <c r="H159" s="203"/>
      <c r="I159" s="203"/>
      <c r="J159" s="69" t="s">
        <v>114</v>
      </c>
      <c r="K159" s="43" t="s">
        <v>114</v>
      </c>
    </row>
    <row r="160" spans="2:11">
      <c r="B160" s="29"/>
      <c r="C160" s="203" t="s">
        <v>172</v>
      </c>
      <c r="D160" s="203"/>
      <c r="E160" s="203"/>
      <c r="F160" s="203"/>
      <c r="G160" s="203"/>
      <c r="H160" s="203"/>
      <c r="I160" s="203"/>
      <c r="J160" s="70">
        <f>'Servente 20%'!J160</f>
        <v>0.03</v>
      </c>
      <c r="K160" s="31">
        <f>($K$151/(1-$J$163))*J160</f>
        <v>207.599735507014</v>
      </c>
    </row>
    <row r="161" spans="2:11">
      <c r="B161" s="188" t="s">
        <v>88</v>
      </c>
      <c r="C161" s="188"/>
      <c r="D161" s="188"/>
      <c r="E161" s="188"/>
      <c r="F161" s="188"/>
      <c r="G161" s="188"/>
      <c r="H161" s="188"/>
      <c r="I161" s="188"/>
      <c r="J161" s="188"/>
      <c r="K161" s="35">
        <f>SUM(K148+K150+K154+K155+K160)</f>
        <v>1662.5952843635321</v>
      </c>
    </row>
    <row r="162" spans="2:11">
      <c r="B162" s="186"/>
      <c r="C162" s="186"/>
      <c r="D162" s="186"/>
      <c r="E162" s="186"/>
      <c r="F162" s="186"/>
      <c r="G162" s="186"/>
      <c r="H162" s="186"/>
      <c r="I162" s="186"/>
      <c r="J162" s="186"/>
      <c r="K162" s="186"/>
    </row>
    <row r="163" spans="2:11" ht="12.75" customHeight="1">
      <c r="B163" s="211" t="s">
        <v>173</v>
      </c>
      <c r="C163" s="211"/>
      <c r="D163" s="211"/>
      <c r="E163" s="211"/>
      <c r="F163" s="211"/>
      <c r="G163" s="211"/>
      <c r="H163" s="211"/>
      <c r="I163" s="211"/>
      <c r="J163" s="71">
        <f>SUM(J154:J160)</f>
        <v>0.1225</v>
      </c>
      <c r="K163" s="72">
        <f>SUM(K154:K160)</f>
        <v>847.69891998697381</v>
      </c>
    </row>
    <row r="164" spans="2:11">
      <c r="B164" s="212" t="s">
        <v>174</v>
      </c>
      <c r="C164" s="212"/>
      <c r="D164" s="212"/>
      <c r="E164" s="213" t="s">
        <v>175</v>
      </c>
      <c r="F164" s="213"/>
      <c r="G164" s="213"/>
      <c r="H164" s="213"/>
      <c r="I164" s="213"/>
      <c r="J164" s="213"/>
      <c r="K164" s="213"/>
    </row>
    <row r="165" spans="2:11">
      <c r="B165" s="212"/>
      <c r="C165" s="212"/>
      <c r="D165" s="212"/>
      <c r="E165" s="213" t="s">
        <v>176</v>
      </c>
      <c r="F165" s="213"/>
      <c r="G165" s="213"/>
      <c r="H165" s="213"/>
      <c r="I165" s="213"/>
      <c r="J165" s="213"/>
      <c r="K165" s="213"/>
    </row>
    <row r="166" spans="2:11">
      <c r="B166" s="212"/>
      <c r="C166" s="212"/>
      <c r="D166" s="212"/>
      <c r="E166" s="213" t="s">
        <v>177</v>
      </c>
      <c r="F166" s="213"/>
      <c r="G166" s="213"/>
      <c r="H166" s="213"/>
      <c r="I166" s="213"/>
      <c r="J166" s="213"/>
      <c r="K166" s="213"/>
    </row>
    <row r="167" spans="2:11">
      <c r="B167" s="186"/>
      <c r="C167" s="186"/>
      <c r="D167" s="186"/>
      <c r="E167" s="186"/>
      <c r="F167" s="186"/>
      <c r="G167" s="186"/>
      <c r="H167" s="186"/>
      <c r="I167" s="186"/>
      <c r="J167" s="186"/>
      <c r="K167" s="186"/>
    </row>
    <row r="168" spans="2:11" ht="40.950000000000003" customHeight="1">
      <c r="B168" s="214" t="s">
        <v>178</v>
      </c>
      <c r="C168" s="214"/>
      <c r="D168" s="214"/>
      <c r="E168" s="214"/>
      <c r="F168" s="214"/>
      <c r="G168" s="214"/>
      <c r="H168" s="214"/>
      <c r="I168" s="214"/>
      <c r="J168" s="214"/>
      <c r="K168" s="214"/>
    </row>
    <row r="169" spans="2:11" ht="12.75" customHeight="1">
      <c r="B169" s="215" t="s">
        <v>179</v>
      </c>
      <c r="C169" s="215"/>
      <c r="D169" s="215"/>
      <c r="E169" s="215"/>
      <c r="F169" s="215"/>
      <c r="G169" s="215"/>
      <c r="H169" s="215"/>
      <c r="I169" s="215"/>
      <c r="J169" s="215"/>
      <c r="K169" s="15" t="s">
        <v>85</v>
      </c>
    </row>
    <row r="170" spans="2:11" ht="12.75" customHeight="1">
      <c r="B170" s="73" t="s">
        <v>7</v>
      </c>
      <c r="C170" s="216" t="s">
        <v>180</v>
      </c>
      <c r="D170" s="216"/>
      <c r="E170" s="216"/>
      <c r="F170" s="216"/>
      <c r="G170" s="216"/>
      <c r="H170" s="216"/>
      <c r="I170" s="216"/>
      <c r="J170" s="216"/>
      <c r="K170" s="49">
        <f>K59</f>
        <v>2156.71</v>
      </c>
    </row>
    <row r="171" spans="2:11" ht="12.75" customHeight="1">
      <c r="B171" s="73" t="s">
        <v>9</v>
      </c>
      <c r="C171" s="216" t="s">
        <v>81</v>
      </c>
      <c r="D171" s="216"/>
      <c r="E171" s="216"/>
      <c r="F171" s="216"/>
      <c r="G171" s="216"/>
      <c r="H171" s="216"/>
      <c r="I171" s="216"/>
      <c r="J171" s="216"/>
      <c r="K171" s="49">
        <f>K100</f>
        <v>1664.6548472439999</v>
      </c>
    </row>
    <row r="172" spans="2:11" ht="12.75" customHeight="1">
      <c r="B172" s="73" t="s">
        <v>12</v>
      </c>
      <c r="C172" s="216" t="s">
        <v>181</v>
      </c>
      <c r="D172" s="216"/>
      <c r="E172" s="216"/>
      <c r="F172" s="216"/>
      <c r="G172" s="216"/>
      <c r="H172" s="216"/>
      <c r="I172" s="216"/>
      <c r="J172" s="216"/>
      <c r="K172" s="49">
        <f>K109</f>
        <v>100.079523322675</v>
      </c>
    </row>
    <row r="173" spans="2:11" ht="12.75" customHeight="1">
      <c r="B173" s="73" t="s">
        <v>15</v>
      </c>
      <c r="C173" s="216" t="s">
        <v>182</v>
      </c>
      <c r="D173" s="216"/>
      <c r="E173" s="216"/>
      <c r="F173" s="216"/>
      <c r="G173" s="216"/>
      <c r="H173" s="216"/>
      <c r="I173" s="216"/>
      <c r="J173" s="216"/>
      <c r="K173" s="49">
        <f>K135</f>
        <v>284.27579715544516</v>
      </c>
    </row>
    <row r="174" spans="2:11" ht="12.75" customHeight="1">
      <c r="B174" s="73" t="s">
        <v>101</v>
      </c>
      <c r="C174" s="216" t="s">
        <v>183</v>
      </c>
      <c r="D174" s="216"/>
      <c r="E174" s="216"/>
      <c r="F174" s="216"/>
      <c r="G174" s="216"/>
      <c r="H174" s="216"/>
      <c r="I174" s="216"/>
      <c r="J174" s="216"/>
      <c r="K174" s="49">
        <f>K143</f>
        <v>1051.6757314814815</v>
      </c>
    </row>
    <row r="175" spans="2:11" ht="12.75" customHeight="1">
      <c r="B175" s="217" t="s">
        <v>184</v>
      </c>
      <c r="C175" s="217"/>
      <c r="D175" s="217"/>
      <c r="E175" s="217"/>
      <c r="F175" s="217"/>
      <c r="G175" s="217"/>
      <c r="H175" s="217"/>
      <c r="I175" s="217"/>
      <c r="J175" s="217"/>
      <c r="K175" s="50">
        <f>SUM(K170:K174)</f>
        <v>5257.3958992036014</v>
      </c>
    </row>
    <row r="176" spans="2:11" ht="12.75" customHeight="1">
      <c r="B176" s="73" t="s">
        <v>103</v>
      </c>
      <c r="C176" s="216" t="s">
        <v>185</v>
      </c>
      <c r="D176" s="216"/>
      <c r="E176" s="216"/>
      <c r="F176" s="216"/>
      <c r="G176" s="216"/>
      <c r="H176" s="216"/>
      <c r="I176" s="216"/>
      <c r="J176" s="216"/>
      <c r="K176" s="49">
        <f>K161</f>
        <v>1662.5952843635321</v>
      </c>
    </row>
    <row r="177" spans="2:11" ht="12.75" customHeight="1">
      <c r="B177" s="217" t="s">
        <v>186</v>
      </c>
      <c r="C177" s="217"/>
      <c r="D177" s="217"/>
      <c r="E177" s="217"/>
      <c r="F177" s="217"/>
      <c r="G177" s="217"/>
      <c r="H177" s="217"/>
      <c r="I177" s="217"/>
      <c r="J177" s="217"/>
      <c r="K177" s="50">
        <f>SUM(K175:K176)</f>
        <v>6919.9911835671337</v>
      </c>
    </row>
    <row r="178" spans="2:11" ht="15.6">
      <c r="B178" s="218" t="s">
        <v>187</v>
      </c>
      <c r="C178" s="218"/>
      <c r="D178" s="218"/>
      <c r="E178" s="218"/>
      <c r="F178" s="218"/>
      <c r="G178" s="218"/>
      <c r="H178" s="218"/>
      <c r="I178" s="218"/>
      <c r="J178" s="218"/>
      <c r="K178" s="218"/>
    </row>
    <row r="179" spans="2:11" ht="12.75" customHeight="1">
      <c r="B179" s="159" t="s">
        <v>188</v>
      </c>
      <c r="C179" s="159"/>
      <c r="D179" s="159"/>
      <c r="E179" s="159"/>
      <c r="F179" s="159"/>
      <c r="G179" s="159"/>
      <c r="H179" s="159"/>
      <c r="I179" s="159"/>
      <c r="J179" s="159"/>
      <c r="K179" s="159"/>
    </row>
    <row r="180" spans="2:11" ht="34.65" customHeight="1">
      <c r="B180" s="219" t="s">
        <v>189</v>
      </c>
      <c r="C180" s="219"/>
      <c r="D180" s="219"/>
      <c r="E180" s="219" t="s">
        <v>190</v>
      </c>
      <c r="F180" s="219"/>
      <c r="G180" s="219"/>
      <c r="H180" s="179" t="s">
        <v>191</v>
      </c>
      <c r="I180" s="179"/>
      <c r="J180" s="179" t="s">
        <v>192</v>
      </c>
      <c r="K180" s="179"/>
    </row>
    <row r="181" spans="2:11" ht="12.75" customHeight="1">
      <c r="B181" s="180" t="s">
        <v>196</v>
      </c>
      <c r="C181" s="180"/>
      <c r="D181" s="180"/>
      <c r="E181" s="75">
        <v>1</v>
      </c>
      <c r="F181" s="65">
        <v>30</v>
      </c>
      <c r="G181" s="76">
        <f>F182</f>
        <v>1200</v>
      </c>
      <c r="H181" s="231">
        <v>0</v>
      </c>
      <c r="I181" s="231"/>
      <c r="J181" s="254">
        <f>ROUND((E181/F181*G181)*H181,2)</f>
        <v>0</v>
      </c>
      <c r="K181" s="254"/>
    </row>
    <row r="182" spans="2:11" ht="12.75" customHeight="1">
      <c r="B182" s="180" t="s">
        <v>197</v>
      </c>
      <c r="C182" s="180"/>
      <c r="D182" s="180"/>
      <c r="E182" s="75">
        <v>1</v>
      </c>
      <c r="F182" s="222">
        <v>1200</v>
      </c>
      <c r="G182" s="222"/>
      <c r="H182" s="220">
        <f>K177</f>
        <v>6919.9911835671337</v>
      </c>
      <c r="I182" s="220"/>
      <c r="J182" s="254">
        <f>(E182/F182)*H182</f>
        <v>5.7666593196392784</v>
      </c>
      <c r="K182" s="254"/>
    </row>
    <row r="183" spans="2:11" ht="12.75" customHeight="1">
      <c r="B183" s="191" t="s">
        <v>195</v>
      </c>
      <c r="C183" s="191"/>
      <c r="D183" s="191"/>
      <c r="E183" s="191"/>
      <c r="F183" s="191"/>
      <c r="G183" s="191"/>
      <c r="H183" s="191"/>
      <c r="I183" s="191"/>
      <c r="J183" s="254">
        <f>SUM(J181+J182)</f>
        <v>5.7666593196392784</v>
      </c>
      <c r="K183" s="254"/>
    </row>
    <row r="184" spans="2:11">
      <c r="B184" s="223"/>
      <c r="C184" s="223"/>
      <c r="D184" s="223"/>
      <c r="E184" s="223"/>
      <c r="F184" s="223"/>
      <c r="G184" s="223"/>
      <c r="H184" s="223"/>
      <c r="I184" s="223"/>
      <c r="J184" s="223"/>
      <c r="K184" s="223"/>
    </row>
    <row r="185" spans="2:11" ht="12.75" customHeight="1">
      <c r="B185" s="224" t="s">
        <v>198</v>
      </c>
      <c r="C185" s="224"/>
      <c r="D185" s="224"/>
      <c r="E185" s="2">
        <v>1</v>
      </c>
      <c r="F185" s="2">
        <v>30</v>
      </c>
      <c r="G185" s="77">
        <f>F186</f>
        <v>450</v>
      </c>
      <c r="H185" s="260">
        <v>0</v>
      </c>
      <c r="I185" s="260"/>
      <c r="J185" s="254">
        <f>(E185/F185*G185)*H185</f>
        <v>0</v>
      </c>
      <c r="K185" s="254"/>
    </row>
    <row r="186" spans="2:11" ht="12.75" customHeight="1">
      <c r="B186" s="224" t="s">
        <v>199</v>
      </c>
      <c r="C186" s="224"/>
      <c r="D186" s="224"/>
      <c r="E186" s="78">
        <v>1</v>
      </c>
      <c r="F186" s="226">
        <v>450</v>
      </c>
      <c r="G186" s="226"/>
      <c r="H186" s="225">
        <f>K177</f>
        <v>6919.9911835671337</v>
      </c>
      <c r="I186" s="225"/>
      <c r="J186" s="254">
        <f>(E186/F186)*H186</f>
        <v>15.377758185704742</v>
      </c>
      <c r="K186" s="254"/>
    </row>
    <row r="187" spans="2:11" ht="12.75" customHeight="1">
      <c r="B187" s="191" t="s">
        <v>195</v>
      </c>
      <c r="C187" s="191"/>
      <c r="D187" s="191"/>
      <c r="E187" s="191"/>
      <c r="F187" s="191"/>
      <c r="G187" s="191"/>
      <c r="H187" s="191"/>
      <c r="I187" s="191"/>
      <c r="J187" s="254">
        <f>SUM(J185+J186)</f>
        <v>15.377758185704742</v>
      </c>
      <c r="K187" s="254"/>
    </row>
    <row r="188" spans="2:11">
      <c r="B188" s="223"/>
      <c r="C188" s="223"/>
      <c r="D188" s="223"/>
      <c r="E188" s="223"/>
      <c r="F188" s="223"/>
      <c r="G188" s="223"/>
      <c r="H188" s="223"/>
      <c r="I188" s="223"/>
      <c r="J188" s="223"/>
      <c r="K188" s="223"/>
    </row>
    <row r="189" spans="2:11" ht="12.75" customHeight="1">
      <c r="B189" s="224" t="s">
        <v>200</v>
      </c>
      <c r="C189" s="224"/>
      <c r="D189" s="224"/>
      <c r="E189" s="2">
        <v>1</v>
      </c>
      <c r="F189" s="2">
        <v>30</v>
      </c>
      <c r="G189" s="77">
        <f>F190</f>
        <v>2500</v>
      </c>
      <c r="H189" s="260">
        <v>0</v>
      </c>
      <c r="I189" s="260"/>
      <c r="J189" s="254">
        <f>ROUND((E189/F189*G189)*H189,2)</f>
        <v>0</v>
      </c>
      <c r="K189" s="254"/>
    </row>
    <row r="190" spans="2:11" ht="12.75" customHeight="1">
      <c r="B190" s="224" t="s">
        <v>201</v>
      </c>
      <c r="C190" s="224"/>
      <c r="D190" s="224"/>
      <c r="E190" s="78">
        <v>1</v>
      </c>
      <c r="F190" s="226">
        <v>2500</v>
      </c>
      <c r="G190" s="226"/>
      <c r="H190" s="225">
        <f>K177</f>
        <v>6919.9911835671337</v>
      </c>
      <c r="I190" s="225"/>
      <c r="J190" s="254">
        <f>(E190/F190)*H190</f>
        <v>2.7679964734268534</v>
      </c>
      <c r="K190" s="254"/>
    </row>
    <row r="191" spans="2:11" ht="12.75" customHeight="1">
      <c r="B191" s="191" t="s">
        <v>195</v>
      </c>
      <c r="C191" s="191"/>
      <c r="D191" s="191"/>
      <c r="E191" s="191"/>
      <c r="F191" s="191"/>
      <c r="G191" s="191"/>
      <c r="H191" s="191"/>
      <c r="I191" s="191"/>
      <c r="J191" s="254">
        <f>SUM(J189+J190)</f>
        <v>2.7679964734268534</v>
      </c>
      <c r="K191" s="254"/>
    </row>
    <row r="192" spans="2:11">
      <c r="B192" s="223"/>
      <c r="C192" s="223"/>
      <c r="D192" s="223"/>
      <c r="E192" s="223"/>
      <c r="F192" s="223"/>
      <c r="G192" s="223"/>
      <c r="H192" s="223"/>
      <c r="I192" s="223"/>
      <c r="J192" s="223"/>
      <c r="K192" s="223"/>
    </row>
    <row r="193" spans="2:11" ht="23.4" customHeight="1">
      <c r="B193" s="180" t="s">
        <v>202</v>
      </c>
      <c r="C193" s="180"/>
      <c r="D193" s="180"/>
      <c r="E193" s="65">
        <v>1</v>
      </c>
      <c r="F193" s="65">
        <v>30</v>
      </c>
      <c r="G193" s="76">
        <f>F194</f>
        <v>1500</v>
      </c>
      <c r="H193" s="261">
        <v>0</v>
      </c>
      <c r="I193" s="261"/>
      <c r="J193" s="254">
        <f>ROUND((E193/F193*G193)*H193,2)</f>
        <v>0</v>
      </c>
      <c r="K193" s="254"/>
    </row>
    <row r="194" spans="2:11" ht="23.4" customHeight="1">
      <c r="B194" s="180" t="s">
        <v>203</v>
      </c>
      <c r="C194" s="180"/>
      <c r="D194" s="180"/>
      <c r="E194" s="65">
        <v>1</v>
      </c>
      <c r="F194" s="222">
        <v>1500</v>
      </c>
      <c r="G194" s="222"/>
      <c r="H194" s="225">
        <f>K177</f>
        <v>6919.9911835671337</v>
      </c>
      <c r="I194" s="225"/>
      <c r="J194" s="254">
        <f>(E194/F194)*H194</f>
        <v>4.6133274557114223</v>
      </c>
      <c r="K194" s="254"/>
    </row>
    <row r="195" spans="2:11" ht="12.75" customHeight="1">
      <c r="B195" s="191" t="s">
        <v>195</v>
      </c>
      <c r="C195" s="191"/>
      <c r="D195" s="191"/>
      <c r="E195" s="191"/>
      <c r="F195" s="191"/>
      <c r="G195" s="191"/>
      <c r="H195" s="191"/>
      <c r="I195" s="191"/>
      <c r="J195" s="254">
        <f>SUM(J193+J194)</f>
        <v>4.6133274557114223</v>
      </c>
      <c r="K195" s="254"/>
    </row>
    <row r="196" spans="2:11">
      <c r="B196" s="223"/>
      <c r="C196" s="223"/>
      <c r="D196" s="223"/>
      <c r="E196" s="223"/>
      <c r="F196" s="223"/>
      <c r="G196" s="223"/>
      <c r="H196" s="223"/>
      <c r="I196" s="223"/>
      <c r="J196" s="223"/>
      <c r="K196" s="223"/>
    </row>
    <row r="197" spans="2:11" ht="12.75" customHeight="1">
      <c r="B197" s="180" t="s">
        <v>204</v>
      </c>
      <c r="C197" s="180"/>
      <c r="D197" s="180"/>
      <c r="E197" s="2">
        <v>1</v>
      </c>
      <c r="F197" s="2">
        <v>30</v>
      </c>
      <c r="G197" s="77">
        <f>F198</f>
        <v>300</v>
      </c>
      <c r="H197" s="260">
        <v>0</v>
      </c>
      <c r="I197" s="260"/>
      <c r="J197" s="254">
        <f>ROUND((E197/F197*G197)*H197,2)</f>
        <v>0</v>
      </c>
      <c r="K197" s="254"/>
    </row>
    <row r="198" spans="2:11" ht="12.75" customHeight="1">
      <c r="B198" s="180" t="s">
        <v>205</v>
      </c>
      <c r="C198" s="180"/>
      <c r="D198" s="180"/>
      <c r="E198" s="2">
        <v>1</v>
      </c>
      <c r="F198" s="226">
        <v>300</v>
      </c>
      <c r="G198" s="226"/>
      <c r="H198" s="225">
        <f>K177</f>
        <v>6919.9911835671337</v>
      </c>
      <c r="I198" s="225"/>
      <c r="J198" s="254">
        <f>(E198/F198)*H198</f>
        <v>23.066637278557113</v>
      </c>
      <c r="K198" s="254"/>
    </row>
    <row r="199" spans="2:11" ht="12.75" customHeight="1">
      <c r="B199" s="227" t="s">
        <v>195</v>
      </c>
      <c r="C199" s="227"/>
      <c r="D199" s="227"/>
      <c r="E199" s="227"/>
      <c r="F199" s="227"/>
      <c r="G199" s="227"/>
      <c r="H199" s="227"/>
      <c r="I199" s="227"/>
      <c r="J199" s="254">
        <f>SUM(J197+J198)</f>
        <v>23.066637278557113</v>
      </c>
      <c r="K199" s="254"/>
    </row>
    <row r="200" spans="2:11">
      <c r="B200" s="223"/>
      <c r="C200" s="223"/>
      <c r="D200" s="223"/>
      <c r="E200" s="223"/>
      <c r="F200" s="223"/>
      <c r="G200" s="223"/>
      <c r="H200" s="223"/>
      <c r="I200" s="223"/>
      <c r="J200" s="223"/>
      <c r="K200" s="223"/>
    </row>
    <row r="201" spans="2:11" ht="23.4" customHeight="1">
      <c r="B201" s="180" t="s">
        <v>206</v>
      </c>
      <c r="C201" s="180"/>
      <c r="D201" s="180"/>
      <c r="E201" s="79">
        <v>1</v>
      </c>
      <c r="F201" s="79" t="s">
        <v>207</v>
      </c>
      <c r="G201" s="76">
        <f>F202</f>
        <v>9000</v>
      </c>
      <c r="H201" s="231">
        <v>0</v>
      </c>
      <c r="I201" s="231"/>
      <c r="J201" s="262">
        <v>0</v>
      </c>
      <c r="K201" s="262"/>
    </row>
    <row r="202" spans="2:11" ht="23.4" customHeight="1">
      <c r="B202" s="180" t="s">
        <v>208</v>
      </c>
      <c r="C202" s="180"/>
      <c r="D202" s="180"/>
      <c r="E202" s="79">
        <v>1</v>
      </c>
      <c r="F202" s="222">
        <v>9000</v>
      </c>
      <c r="G202" s="222"/>
      <c r="H202" s="220">
        <f>K177</f>
        <v>6919.9911835671337</v>
      </c>
      <c r="I202" s="220"/>
      <c r="J202" s="262">
        <f>(E202/F202)*H202</f>
        <v>0.76888790928523709</v>
      </c>
      <c r="K202" s="262"/>
    </row>
    <row r="203" spans="2:11" ht="12.75" customHeight="1">
      <c r="B203" s="191" t="s">
        <v>195</v>
      </c>
      <c r="C203" s="191"/>
      <c r="D203" s="191"/>
      <c r="E203" s="191"/>
      <c r="F203" s="191"/>
      <c r="G203" s="191"/>
      <c r="H203" s="191"/>
      <c r="I203" s="191"/>
      <c r="J203" s="262">
        <f>SUM(J201+J202)</f>
        <v>0.76888790928523709</v>
      </c>
      <c r="K203" s="262"/>
    </row>
    <row r="204" spans="2:11">
      <c r="B204" s="229"/>
      <c r="C204" s="229"/>
      <c r="D204" s="229"/>
      <c r="E204" s="229"/>
      <c r="F204" s="229"/>
      <c r="G204" s="229"/>
      <c r="H204" s="229"/>
      <c r="I204" s="229"/>
      <c r="J204" s="229"/>
      <c r="K204" s="229"/>
    </row>
    <row r="205" spans="2:11" ht="12.75" customHeight="1">
      <c r="B205" s="180" t="s">
        <v>209</v>
      </c>
      <c r="C205" s="180"/>
      <c r="D205" s="180"/>
      <c r="E205" s="79">
        <v>1</v>
      </c>
      <c r="F205" s="79" t="s">
        <v>207</v>
      </c>
      <c r="G205" s="76">
        <v>1800</v>
      </c>
      <c r="H205" s="231">
        <v>0</v>
      </c>
      <c r="I205" s="231"/>
      <c r="J205" s="262">
        <v>0</v>
      </c>
      <c r="K205" s="262"/>
    </row>
    <row r="206" spans="2:11" ht="12.75" customHeight="1">
      <c r="B206" s="180" t="s">
        <v>210</v>
      </c>
      <c r="C206" s="180"/>
      <c r="D206" s="180"/>
      <c r="E206" s="79">
        <v>1</v>
      </c>
      <c r="F206" s="222">
        <v>1800</v>
      </c>
      <c r="G206" s="222"/>
      <c r="H206" s="220">
        <f>K177</f>
        <v>6919.9911835671337</v>
      </c>
      <c r="I206" s="220"/>
      <c r="J206" s="262">
        <f>(E206/F206)*H206</f>
        <v>3.8444395464261856</v>
      </c>
      <c r="K206" s="262"/>
    </row>
    <row r="207" spans="2:11" ht="12.75" customHeight="1">
      <c r="B207" s="191" t="s">
        <v>195</v>
      </c>
      <c r="C207" s="191"/>
      <c r="D207" s="191"/>
      <c r="E207" s="191"/>
      <c r="F207" s="191"/>
      <c r="G207" s="191"/>
      <c r="H207" s="191"/>
      <c r="I207" s="191"/>
      <c r="J207" s="262">
        <f>SUM(J205+J206)</f>
        <v>3.8444395464261856</v>
      </c>
      <c r="K207" s="262"/>
    </row>
    <row r="208" spans="2:11">
      <c r="B208" s="229"/>
      <c r="C208" s="229"/>
      <c r="D208" s="229"/>
      <c r="E208" s="229"/>
      <c r="F208" s="229"/>
      <c r="G208" s="229"/>
      <c r="H208" s="229"/>
      <c r="I208" s="229"/>
      <c r="J208" s="229"/>
      <c r="K208" s="229"/>
    </row>
    <row r="209" spans="2:11" ht="23.4" customHeight="1">
      <c r="B209" s="230" t="s">
        <v>211</v>
      </c>
      <c r="C209" s="230"/>
      <c r="D209" s="230"/>
      <c r="E209" s="79">
        <v>1</v>
      </c>
      <c r="F209" s="79" t="s">
        <v>212</v>
      </c>
      <c r="G209" s="76">
        <v>2700</v>
      </c>
      <c r="H209" s="231">
        <v>0</v>
      </c>
      <c r="I209" s="231"/>
      <c r="J209" s="262">
        <v>0</v>
      </c>
      <c r="K209" s="262"/>
    </row>
    <row r="210" spans="2:11" ht="23.4" customHeight="1">
      <c r="B210" s="230" t="s">
        <v>213</v>
      </c>
      <c r="C210" s="230"/>
      <c r="D210" s="230"/>
      <c r="E210" s="79">
        <v>1</v>
      </c>
      <c r="F210" s="222">
        <v>2700</v>
      </c>
      <c r="G210" s="222"/>
      <c r="H210" s="220">
        <f>K177</f>
        <v>6919.9911835671337</v>
      </c>
      <c r="I210" s="220"/>
      <c r="J210" s="262">
        <f>(E210/F210)*H210</f>
        <v>2.5629596976174569</v>
      </c>
      <c r="K210" s="262"/>
    </row>
    <row r="211" spans="2:11" ht="12.75" customHeight="1">
      <c r="B211" s="191" t="s">
        <v>195</v>
      </c>
      <c r="C211" s="191"/>
      <c r="D211" s="191"/>
      <c r="E211" s="191"/>
      <c r="F211" s="191"/>
      <c r="G211" s="191"/>
      <c r="H211" s="191"/>
      <c r="I211" s="191"/>
      <c r="J211" s="262">
        <f>SUM(J209+J210)</f>
        <v>2.5629596976174569</v>
      </c>
      <c r="K211" s="262"/>
    </row>
    <row r="212" spans="2:11">
      <c r="B212" s="232"/>
      <c r="C212" s="232"/>
      <c r="D212" s="232"/>
      <c r="E212" s="232"/>
      <c r="F212" s="232"/>
      <c r="G212" s="232"/>
      <c r="H212" s="232"/>
      <c r="I212" s="232"/>
      <c r="J212" s="232"/>
      <c r="K212" s="232"/>
    </row>
    <row r="213" spans="2:11" ht="57" customHeight="1">
      <c r="B213" s="74" t="s">
        <v>214</v>
      </c>
      <c r="C213" s="219" t="s">
        <v>215</v>
      </c>
      <c r="D213" s="219"/>
      <c r="E213" s="219"/>
      <c r="F213" s="81" t="s">
        <v>216</v>
      </c>
      <c r="G213" s="233" t="s">
        <v>217</v>
      </c>
      <c r="H213" s="233"/>
      <c r="I213" s="81" t="s">
        <v>218</v>
      </c>
      <c r="J213" s="81" t="s">
        <v>219</v>
      </c>
      <c r="K213" s="81" t="s">
        <v>220</v>
      </c>
    </row>
    <row r="214" spans="2:11">
      <c r="B214" s="234"/>
      <c r="C214" s="234"/>
      <c r="D214" s="234"/>
      <c r="E214" s="234"/>
      <c r="F214" s="234"/>
      <c r="G214" s="234"/>
      <c r="H214" s="234"/>
      <c r="I214" s="234"/>
      <c r="J214" s="234"/>
      <c r="K214" s="234"/>
    </row>
    <row r="215" spans="2:11" ht="52.8">
      <c r="B215" s="82" t="s">
        <v>221</v>
      </c>
      <c r="C215" s="83">
        <v>1</v>
      </c>
      <c r="D215" s="235" t="s">
        <v>222</v>
      </c>
      <c r="E215" s="235"/>
      <c r="F215" s="65">
        <v>8</v>
      </c>
      <c r="G215" s="84" t="s">
        <v>223</v>
      </c>
      <c r="H215" s="84" t="s">
        <v>224</v>
      </c>
      <c r="I215" s="85">
        <f>ROUND((C215/D215)*F215*(G215/H215),7)</f>
        <v>1.115E-4</v>
      </c>
      <c r="J215" s="86">
        <f>K177</f>
        <v>6919.9911835671337</v>
      </c>
      <c r="K215" s="80">
        <f>I215*J215</f>
        <v>0.77157901696773545</v>
      </c>
    </row>
    <row r="216" spans="2:11" ht="26.4">
      <c r="B216" s="82" t="s">
        <v>225</v>
      </c>
      <c r="C216" s="83">
        <v>1</v>
      </c>
      <c r="D216" s="236">
        <v>380</v>
      </c>
      <c r="E216" s="236"/>
      <c r="F216" s="65">
        <v>8</v>
      </c>
      <c r="G216" s="84" t="s">
        <v>223</v>
      </c>
      <c r="H216" s="84" t="s">
        <v>224</v>
      </c>
      <c r="I216" s="85">
        <f>ROUND((C216/D216)*F216*(G216/H216),7)</f>
        <v>1.115E-4</v>
      </c>
      <c r="J216" s="86">
        <f>K177</f>
        <v>6919.9911835671337</v>
      </c>
      <c r="K216" s="80">
        <f>I216*J216</f>
        <v>0.77157901696773545</v>
      </c>
    </row>
    <row r="217" spans="2:11" ht="57" customHeight="1">
      <c r="B217" s="74" t="s">
        <v>214</v>
      </c>
      <c r="C217" s="219" t="s">
        <v>215</v>
      </c>
      <c r="D217" s="219"/>
      <c r="E217" s="219"/>
      <c r="F217" s="81" t="s">
        <v>226</v>
      </c>
      <c r="G217" s="233" t="s">
        <v>227</v>
      </c>
      <c r="H217" s="233"/>
      <c r="I217" s="81" t="s">
        <v>218</v>
      </c>
      <c r="J217" s="81" t="s">
        <v>219</v>
      </c>
      <c r="K217" s="81" t="s">
        <v>220</v>
      </c>
    </row>
    <row r="218" spans="2:11">
      <c r="B218" s="234"/>
      <c r="C218" s="234"/>
      <c r="D218" s="234"/>
      <c r="E218" s="234"/>
      <c r="F218" s="234"/>
      <c r="G218" s="234"/>
      <c r="H218" s="234"/>
      <c r="I218" s="234"/>
      <c r="J218" s="234"/>
      <c r="K218" s="234"/>
    </row>
    <row r="219" spans="2:11" ht="52.8">
      <c r="B219" s="82" t="s">
        <v>228</v>
      </c>
      <c r="C219" s="83" t="s">
        <v>223</v>
      </c>
      <c r="D219" s="236">
        <v>160</v>
      </c>
      <c r="E219" s="236"/>
      <c r="F219" s="65">
        <v>48</v>
      </c>
      <c r="G219" s="84" t="s">
        <v>223</v>
      </c>
      <c r="H219" s="84" t="s">
        <v>229</v>
      </c>
      <c r="I219" s="85">
        <f>ROUND((C219/D219)*F219*(G219/H219),7)</f>
        <v>2.6489999999999999E-4</v>
      </c>
      <c r="J219" s="86">
        <f>K177</f>
        <v>6919.9911835671337</v>
      </c>
      <c r="K219" s="80">
        <f>I219*J219</f>
        <v>1.8331056645269337</v>
      </c>
    </row>
    <row r="220" spans="2:11" ht="39.6">
      <c r="B220" s="82" t="s">
        <v>230</v>
      </c>
      <c r="C220" s="83">
        <v>1</v>
      </c>
      <c r="D220" s="236">
        <v>160</v>
      </c>
      <c r="E220" s="236"/>
      <c r="F220" s="65">
        <v>48</v>
      </c>
      <c r="G220" s="84" t="s">
        <v>223</v>
      </c>
      <c r="H220" s="84" t="s">
        <v>229</v>
      </c>
      <c r="I220" s="85">
        <f>ROUND((C220/D220)*F220*(G220/H220),7)</f>
        <v>2.6489999999999999E-4</v>
      </c>
      <c r="J220" s="86">
        <f>K177</f>
        <v>6919.9911835671337</v>
      </c>
      <c r="K220" s="80">
        <f>I220*J220</f>
        <v>1.8331056645269337</v>
      </c>
    </row>
    <row r="221" spans="2:11" ht="12.75" customHeight="1">
      <c r="B221" s="191" t="s">
        <v>195</v>
      </c>
      <c r="C221" s="191"/>
      <c r="D221" s="191"/>
      <c r="E221" s="191"/>
      <c r="F221" s="191"/>
      <c r="G221" s="191"/>
      <c r="H221" s="191"/>
      <c r="I221" s="191"/>
      <c r="J221" s="191"/>
      <c r="K221" s="80">
        <f>K220+K219+K216+K215</f>
        <v>5.2093693629893387</v>
      </c>
    </row>
    <row r="222" spans="2:11">
      <c r="B222" s="237"/>
      <c r="C222" s="237"/>
      <c r="D222" s="237"/>
      <c r="E222" s="237"/>
      <c r="F222" s="237"/>
      <c r="G222" s="237"/>
      <c r="H222" s="237"/>
      <c r="I222" s="237"/>
      <c r="J222" s="237"/>
      <c r="K222" s="237"/>
    </row>
    <row r="223" spans="2:11" ht="15.6">
      <c r="B223" s="210" t="s">
        <v>231</v>
      </c>
      <c r="C223" s="210"/>
      <c r="D223" s="210"/>
      <c r="E223" s="210"/>
      <c r="F223" s="210"/>
      <c r="G223" s="210"/>
      <c r="H223" s="210"/>
      <c r="I223" s="210"/>
      <c r="J223" s="210"/>
      <c r="K223" s="210"/>
    </row>
    <row r="224" spans="2:11" ht="23.4" customHeight="1">
      <c r="B224" s="190" t="s">
        <v>232</v>
      </c>
      <c r="C224" s="190"/>
      <c r="D224" s="190"/>
      <c r="E224" s="190"/>
      <c r="F224" s="190"/>
      <c r="G224" s="179" t="s">
        <v>233</v>
      </c>
      <c r="H224" s="179"/>
      <c r="I224" s="15" t="s">
        <v>234</v>
      </c>
      <c r="J224" s="179" t="s">
        <v>235</v>
      </c>
      <c r="K224" s="179"/>
    </row>
    <row r="225" spans="2:11" ht="12.75" customHeight="1">
      <c r="B225" s="238" t="s">
        <v>37</v>
      </c>
      <c r="C225" s="238"/>
      <c r="D225" s="238"/>
      <c r="E225" s="238"/>
      <c r="F225" s="238"/>
      <c r="G225" s="177">
        <v>0</v>
      </c>
      <c r="H225" s="177"/>
      <c r="I225" s="87">
        <f t="shared" ref="I225:I232" si="1">J13</f>
        <v>0</v>
      </c>
      <c r="J225" s="240">
        <f>ROUND(G225*I225,2)</f>
        <v>0</v>
      </c>
      <c r="K225" s="240"/>
    </row>
    <row r="226" spans="2:11" ht="12.75" customHeight="1">
      <c r="B226" s="238" t="s">
        <v>39</v>
      </c>
      <c r="C226" s="238"/>
      <c r="D226" s="238"/>
      <c r="E226" s="238"/>
      <c r="F226" s="238"/>
      <c r="G226" s="239">
        <f>J183</f>
        <v>5.7666593196392784</v>
      </c>
      <c r="H226" s="239"/>
      <c r="I226" s="87">
        <f t="shared" si="1"/>
        <v>0</v>
      </c>
      <c r="J226" s="240">
        <f>ROUND(G226*I226,2)</f>
        <v>0</v>
      </c>
      <c r="K226" s="240"/>
    </row>
    <row r="227" spans="2:11" ht="12.75" customHeight="1">
      <c r="B227" s="238" t="s">
        <v>40</v>
      </c>
      <c r="C227" s="238"/>
      <c r="D227" s="238"/>
      <c r="E227" s="238"/>
      <c r="F227" s="238"/>
      <c r="G227" s="239">
        <f>J187</f>
        <v>15.377758185704742</v>
      </c>
      <c r="H227" s="239"/>
      <c r="I227" s="87">
        <f t="shared" si="1"/>
        <v>0</v>
      </c>
      <c r="J227" s="240">
        <f>G227*I227</f>
        <v>0</v>
      </c>
      <c r="K227" s="240"/>
    </row>
    <row r="228" spans="2:11" ht="12.75" customHeight="1">
      <c r="B228" s="238" t="s">
        <v>41</v>
      </c>
      <c r="C228" s="238"/>
      <c r="D228" s="238"/>
      <c r="E228" s="238"/>
      <c r="F228" s="238"/>
      <c r="G228" s="239">
        <f>J191</f>
        <v>2.7679964734268534</v>
      </c>
      <c r="H228" s="239"/>
      <c r="I228" s="87">
        <f t="shared" si="1"/>
        <v>0</v>
      </c>
      <c r="J228" s="240">
        <f>ROUND(G228*I228,2)</f>
        <v>0</v>
      </c>
      <c r="K228" s="240"/>
    </row>
    <row r="229" spans="2:11" ht="12.75" customHeight="1">
      <c r="B229" s="238" t="s">
        <v>42</v>
      </c>
      <c r="C229" s="238"/>
      <c r="D229" s="238"/>
      <c r="E229" s="238"/>
      <c r="F229" s="238"/>
      <c r="G229" s="241">
        <f>J207</f>
        <v>3.8444395464261856</v>
      </c>
      <c r="H229" s="241"/>
      <c r="I229" s="87">
        <f t="shared" si="1"/>
        <v>0</v>
      </c>
      <c r="J229" s="240">
        <f>ROUND(G229*I229,2)</f>
        <v>0</v>
      </c>
      <c r="K229" s="240"/>
    </row>
    <row r="230" spans="2:11" ht="12.75" customHeight="1">
      <c r="B230" s="238" t="s">
        <v>43</v>
      </c>
      <c r="C230" s="238"/>
      <c r="D230" s="238"/>
      <c r="E230" s="238"/>
      <c r="F230" s="238"/>
      <c r="G230" s="239">
        <f>J195</f>
        <v>4.6133274557114223</v>
      </c>
      <c r="H230" s="239"/>
      <c r="I230" s="87">
        <f t="shared" si="1"/>
        <v>0</v>
      </c>
      <c r="J230" s="240">
        <f>ROUND(G230*I230,2)</f>
        <v>0</v>
      </c>
      <c r="K230" s="240"/>
    </row>
    <row r="231" spans="2:11" ht="12.75" customHeight="1">
      <c r="B231" s="238" t="s">
        <v>236</v>
      </c>
      <c r="C231" s="238"/>
      <c r="D231" s="238"/>
      <c r="E231" s="238"/>
      <c r="F231" s="238"/>
      <c r="G231" s="239">
        <f>J199</f>
        <v>23.066637278557113</v>
      </c>
      <c r="H231" s="239"/>
      <c r="I231" s="87">
        <f t="shared" si="1"/>
        <v>558.79999999999995</v>
      </c>
      <c r="J231" s="240">
        <f>G231*I231</f>
        <v>12889.636911257714</v>
      </c>
      <c r="K231" s="240"/>
    </row>
    <row r="232" spans="2:11" ht="12.75" customHeight="1">
      <c r="B232" s="242" t="s">
        <v>45</v>
      </c>
      <c r="C232" s="242"/>
      <c r="D232" s="242"/>
      <c r="E232" s="242"/>
      <c r="F232" s="242"/>
      <c r="G232" s="242"/>
      <c r="H232" s="242"/>
      <c r="I232" s="95">
        <f t="shared" si="1"/>
        <v>558.79999999999995</v>
      </c>
      <c r="J232" s="243">
        <f>SUM(J225:J231)</f>
        <v>12889.636911257714</v>
      </c>
      <c r="K232" s="243"/>
    </row>
    <row r="233" spans="2:11">
      <c r="B233" s="244"/>
      <c r="C233" s="244"/>
      <c r="D233" s="244"/>
      <c r="E233" s="244"/>
      <c r="F233" s="244"/>
      <c r="G233" s="244"/>
      <c r="H233" s="244"/>
      <c r="I233" s="244"/>
      <c r="J233" s="244"/>
      <c r="K233" s="244"/>
    </row>
    <row r="234" spans="2:11">
      <c r="B234" s="245" t="s">
        <v>237</v>
      </c>
      <c r="C234" s="245"/>
      <c r="D234" s="245"/>
      <c r="E234" s="245"/>
      <c r="F234" s="245"/>
      <c r="G234" s="246">
        <f>J203</f>
        <v>0.76888790928523709</v>
      </c>
      <c r="H234" s="246"/>
      <c r="I234" s="89">
        <f>K23</f>
        <v>0</v>
      </c>
      <c r="J234" s="250">
        <f>ROUND(G234*I234,2)</f>
        <v>0</v>
      </c>
      <c r="K234" s="250"/>
    </row>
    <row r="235" spans="2:11" ht="23.4" customHeight="1">
      <c r="B235" s="159" t="s">
        <v>238</v>
      </c>
      <c r="C235" s="159"/>
      <c r="D235" s="159"/>
      <c r="E235" s="159"/>
      <c r="F235" s="159"/>
      <c r="G235" s="248">
        <f>J210</f>
        <v>2.5629596976174569</v>
      </c>
      <c r="H235" s="248"/>
      <c r="I235" s="89">
        <f>K25</f>
        <v>0</v>
      </c>
      <c r="J235" s="250">
        <f>ROUND(G235*I235,2)</f>
        <v>0</v>
      </c>
      <c r="K235" s="250"/>
    </row>
    <row r="236" spans="2:11" ht="12.75" customHeight="1">
      <c r="B236" s="242" t="s">
        <v>52</v>
      </c>
      <c r="C236" s="242"/>
      <c r="D236" s="242"/>
      <c r="E236" s="242"/>
      <c r="F236" s="242"/>
      <c r="G236" s="242"/>
      <c r="H236" s="242"/>
      <c r="I236" s="95">
        <f>K28</f>
        <v>0</v>
      </c>
      <c r="J236" s="243">
        <f>SUM(J234:J235)</f>
        <v>0</v>
      </c>
      <c r="K236" s="243"/>
    </row>
    <row r="237" spans="2:11">
      <c r="B237" s="237"/>
      <c r="C237" s="237"/>
      <c r="D237" s="237"/>
      <c r="E237" s="237"/>
      <c r="F237" s="237"/>
      <c r="G237" s="237"/>
      <c r="H237" s="237"/>
      <c r="I237" s="237"/>
      <c r="J237" s="237"/>
      <c r="K237" s="237"/>
    </row>
    <row r="238" spans="2:11" ht="12.75" customHeight="1">
      <c r="B238" s="238" t="s">
        <v>239</v>
      </c>
      <c r="C238" s="238"/>
      <c r="D238" s="238"/>
      <c r="E238" s="238"/>
      <c r="F238" s="238"/>
      <c r="G238" s="246">
        <f>K219</f>
        <v>1.8331056645269337</v>
      </c>
      <c r="H238" s="246"/>
      <c r="I238" s="90">
        <f>K30</f>
        <v>0</v>
      </c>
      <c r="J238" s="249">
        <f>ROUND(G238*I238,2)</f>
        <v>0</v>
      </c>
      <c r="K238" s="249"/>
    </row>
    <row r="239" spans="2:11" ht="12.75" customHeight="1">
      <c r="B239" s="159" t="s">
        <v>240</v>
      </c>
      <c r="C239" s="159"/>
      <c r="D239" s="159"/>
      <c r="E239" s="159"/>
      <c r="F239" s="159"/>
      <c r="G239" s="248">
        <f>K215</f>
        <v>0.77157901696773545</v>
      </c>
      <c r="H239" s="248"/>
      <c r="I239" s="90">
        <f>K31</f>
        <v>0</v>
      </c>
      <c r="J239" s="249">
        <f>ROUND(G239*I239,2)</f>
        <v>0</v>
      </c>
      <c r="K239" s="249"/>
    </row>
    <row r="240" spans="2:11" ht="12.75" customHeight="1">
      <c r="B240" s="159" t="s">
        <v>241</v>
      </c>
      <c r="C240" s="159"/>
      <c r="D240" s="159"/>
      <c r="E240" s="159"/>
      <c r="F240" s="159"/>
      <c r="G240" s="248">
        <f>K216</f>
        <v>0.77157901696773545</v>
      </c>
      <c r="H240" s="248"/>
      <c r="I240" s="90">
        <f>K32</f>
        <v>0</v>
      </c>
      <c r="J240" s="249">
        <f>ROUND(G240*I240,2)</f>
        <v>0</v>
      </c>
      <c r="K240" s="249"/>
    </row>
    <row r="241" spans="2:11" ht="12.75" customHeight="1">
      <c r="B241" s="238" t="s">
        <v>242</v>
      </c>
      <c r="C241" s="238"/>
      <c r="D241" s="238"/>
      <c r="E241" s="238"/>
      <c r="F241" s="238"/>
      <c r="G241" s="248">
        <f>K220</f>
        <v>1.8331056645269337</v>
      </c>
      <c r="H241" s="248"/>
      <c r="I241" s="90">
        <f>K35</f>
        <v>0</v>
      </c>
      <c r="J241" s="249">
        <f>ROUND(G241*I241,2)</f>
        <v>0</v>
      </c>
      <c r="K241" s="249"/>
    </row>
    <row r="242" spans="2:11" ht="12.75" customHeight="1">
      <c r="B242" s="242" t="s">
        <v>243</v>
      </c>
      <c r="C242" s="242"/>
      <c r="D242" s="242"/>
      <c r="E242" s="242"/>
      <c r="F242" s="242"/>
      <c r="G242" s="242"/>
      <c r="H242" s="242"/>
      <c r="I242" s="95">
        <f>SUM(I238:I241)</f>
        <v>0</v>
      </c>
      <c r="J242" s="243">
        <f>SUM(J238:J241)</f>
        <v>0</v>
      </c>
      <c r="K242" s="243"/>
    </row>
    <row r="243" spans="2:11">
      <c r="B243" s="234"/>
      <c r="C243" s="234"/>
      <c r="D243" s="234"/>
      <c r="E243" s="234"/>
      <c r="F243" s="234"/>
      <c r="G243" s="234"/>
      <c r="H243" s="234"/>
      <c r="I243" s="234"/>
      <c r="J243" s="234"/>
      <c r="K243" s="234"/>
    </row>
    <row r="244" spans="2:11" ht="12.75" customHeight="1">
      <c r="B244" s="238" t="s">
        <v>61</v>
      </c>
      <c r="C244" s="238"/>
      <c r="D244" s="238"/>
      <c r="E244" s="238"/>
      <c r="F244" s="238"/>
      <c r="G244" s="238"/>
      <c r="H244" s="238"/>
      <c r="I244" s="96">
        <v>0</v>
      </c>
      <c r="J244" s="247">
        <f>K244</f>
        <v>0</v>
      </c>
      <c r="K244" s="247"/>
    </row>
    <row r="245" spans="2:11" ht="12.75" customHeight="1">
      <c r="B245" s="251" t="s">
        <v>62</v>
      </c>
      <c r="C245" s="251"/>
      <c r="D245" s="251"/>
      <c r="E245" s="251"/>
      <c r="F245" s="251"/>
      <c r="G245" s="251"/>
      <c r="H245" s="251"/>
      <c r="I245" s="97">
        <v>0</v>
      </c>
      <c r="J245" s="254">
        <f>J244</f>
        <v>0</v>
      </c>
      <c r="K245" s="254"/>
    </row>
    <row r="246" spans="2:11">
      <c r="B246" s="234"/>
      <c r="C246" s="234"/>
      <c r="D246" s="234"/>
      <c r="E246" s="234"/>
      <c r="F246" s="234"/>
      <c r="G246" s="234"/>
      <c r="H246" s="234"/>
      <c r="I246" s="234"/>
      <c r="J246" s="234"/>
      <c r="K246" s="234"/>
    </row>
    <row r="247" spans="2:11" ht="12.75" customHeight="1">
      <c r="B247" s="253" t="s">
        <v>195</v>
      </c>
      <c r="C247" s="253"/>
      <c r="D247" s="253"/>
      <c r="E247" s="253"/>
      <c r="F247" s="253"/>
      <c r="G247" s="253"/>
      <c r="H247" s="253"/>
      <c r="I247" s="98">
        <f>ROUND(I232+I236+I242+I245,2)</f>
        <v>558.79999999999995</v>
      </c>
      <c r="J247" s="254">
        <f>J232+J236+J242+J245</f>
        <v>12889.636911257714</v>
      </c>
      <c r="K247" s="254"/>
    </row>
    <row r="248" spans="2:11">
      <c r="B248" s="234"/>
      <c r="C248" s="234"/>
      <c r="D248" s="234"/>
      <c r="E248" s="234"/>
      <c r="F248" s="234"/>
      <c r="G248" s="234"/>
      <c r="H248" s="234"/>
      <c r="I248" s="234"/>
      <c r="J248" s="234"/>
      <c r="K248" s="234"/>
    </row>
    <row r="249" spans="2:11" ht="17.399999999999999" customHeight="1">
      <c r="B249" s="256" t="s">
        <v>23</v>
      </c>
      <c r="C249" s="256"/>
      <c r="D249" s="256"/>
      <c r="E249" s="256"/>
      <c r="F249" s="256"/>
      <c r="G249" s="256"/>
      <c r="H249" s="256"/>
      <c r="I249" s="256"/>
      <c r="J249" s="257">
        <f>J247</f>
        <v>12889.636911257714</v>
      </c>
      <c r="K249" s="257"/>
    </row>
    <row r="250" spans="2:11">
      <c r="B250" s="234"/>
      <c r="C250" s="234"/>
      <c r="D250" s="234"/>
      <c r="E250" s="234"/>
      <c r="F250" s="234"/>
      <c r="G250" s="234"/>
      <c r="H250" s="234"/>
      <c r="I250" s="234"/>
      <c r="J250" s="234"/>
      <c r="K250" s="234"/>
    </row>
    <row r="251" spans="2:11" ht="17.399999999999999" customHeight="1">
      <c r="B251" s="256" t="s">
        <v>24</v>
      </c>
      <c r="C251" s="256"/>
      <c r="D251" s="256"/>
      <c r="E251" s="256"/>
      <c r="F251" s="256"/>
      <c r="G251" s="256"/>
      <c r="H251" s="256"/>
      <c r="I251" s="256"/>
      <c r="J251" s="258">
        <f>I10</f>
        <v>60</v>
      </c>
      <c r="K251" s="258"/>
    </row>
    <row r="252" spans="2:11">
      <c r="B252" s="234"/>
      <c r="C252" s="234"/>
      <c r="D252" s="234"/>
      <c r="E252" s="234"/>
      <c r="F252" s="234"/>
      <c r="G252" s="234"/>
      <c r="H252" s="234"/>
      <c r="I252" s="234"/>
      <c r="J252" s="234"/>
      <c r="K252" s="234"/>
    </row>
    <row r="253" spans="2:11" ht="17.399999999999999" customHeight="1">
      <c r="B253" s="256" t="s">
        <v>244</v>
      </c>
      <c r="C253" s="256"/>
      <c r="D253" s="256"/>
      <c r="E253" s="256"/>
      <c r="F253" s="256"/>
      <c r="G253" s="256"/>
      <c r="H253" s="256"/>
      <c r="I253" s="256"/>
      <c r="J253" s="257">
        <f>J247*J251</f>
        <v>773378.2146754628</v>
      </c>
      <c r="K253" s="257"/>
    </row>
    <row r="254" spans="2:11">
      <c r="B254" s="234"/>
      <c r="C254" s="234"/>
      <c r="D254" s="234"/>
      <c r="E254" s="234"/>
      <c r="F254" s="234"/>
      <c r="G254" s="234"/>
      <c r="H254" s="234"/>
      <c r="I254" s="234"/>
      <c r="J254" s="234"/>
      <c r="K254" s="234"/>
    </row>
    <row r="255" spans="2:11" ht="12.75" customHeight="1">
      <c r="B255" s="159" t="s">
        <v>245</v>
      </c>
      <c r="C255" s="159"/>
      <c r="D255" s="159"/>
      <c r="E255" s="159"/>
      <c r="F255" s="159"/>
      <c r="G255" s="159"/>
      <c r="H255" s="159"/>
      <c r="I255" s="159"/>
      <c r="J255" s="159"/>
      <c r="K255" s="159"/>
    </row>
    <row r="256" spans="2:11">
      <c r="B256" s="190" t="s">
        <v>246</v>
      </c>
      <c r="C256" s="190"/>
      <c r="D256" s="190"/>
      <c r="E256" s="190"/>
      <c r="F256" s="190"/>
      <c r="G256" s="190"/>
      <c r="H256" s="190" t="s">
        <v>247</v>
      </c>
      <c r="I256" s="190"/>
      <c r="J256" s="190"/>
      <c r="K256" s="190"/>
    </row>
    <row r="257" spans="2:11">
      <c r="B257" s="189" t="s">
        <v>248</v>
      </c>
      <c r="C257" s="189"/>
      <c r="D257" s="189"/>
      <c r="E257" s="189"/>
      <c r="F257" s="189"/>
      <c r="G257" s="189"/>
      <c r="H257" s="255">
        <v>2</v>
      </c>
      <c r="I257" s="255"/>
      <c r="J257" s="255"/>
      <c r="K257" s="255"/>
    </row>
  </sheetData>
  <mergeCells count="391">
    <mergeCell ref="B254:K254"/>
    <mergeCell ref="B255:K255"/>
    <mergeCell ref="B256:G256"/>
    <mergeCell ref="H256:K256"/>
    <mergeCell ref="B257:G257"/>
    <mergeCell ref="H257:K257"/>
    <mergeCell ref="B248:K248"/>
    <mergeCell ref="B249:I249"/>
    <mergeCell ref="J249:K249"/>
    <mergeCell ref="B250:K250"/>
    <mergeCell ref="B251:I251"/>
    <mergeCell ref="J251:K251"/>
    <mergeCell ref="B252:K252"/>
    <mergeCell ref="B253:I253"/>
    <mergeCell ref="J253:K253"/>
    <mergeCell ref="B242:H242"/>
    <mergeCell ref="J242:K242"/>
    <mergeCell ref="B243:K243"/>
    <mergeCell ref="B244:H244"/>
    <mergeCell ref="J244:K244"/>
    <mergeCell ref="B245:H245"/>
    <mergeCell ref="J245:K245"/>
    <mergeCell ref="B246:K246"/>
    <mergeCell ref="B247:H247"/>
    <mergeCell ref="J247:K247"/>
    <mergeCell ref="B239:F239"/>
    <mergeCell ref="G239:H239"/>
    <mergeCell ref="J239:K239"/>
    <mergeCell ref="B240:F240"/>
    <mergeCell ref="G240:H240"/>
    <mergeCell ref="J240:K240"/>
    <mergeCell ref="B241:F241"/>
    <mergeCell ref="G241:H241"/>
    <mergeCell ref="J241:K241"/>
    <mergeCell ref="B235:F235"/>
    <mergeCell ref="G235:H235"/>
    <mergeCell ref="J235:K235"/>
    <mergeCell ref="B236:H236"/>
    <mergeCell ref="J236:K236"/>
    <mergeCell ref="B237:K237"/>
    <mergeCell ref="B238:F238"/>
    <mergeCell ref="G238:H238"/>
    <mergeCell ref="J238:K238"/>
    <mergeCell ref="B231:F231"/>
    <mergeCell ref="G231:H231"/>
    <mergeCell ref="J231:K231"/>
    <mergeCell ref="B232:H232"/>
    <mergeCell ref="J232:K232"/>
    <mergeCell ref="B233:K233"/>
    <mergeCell ref="B234:F234"/>
    <mergeCell ref="G234:H234"/>
    <mergeCell ref="J234:K234"/>
    <mergeCell ref="B228:F228"/>
    <mergeCell ref="G228:H228"/>
    <mergeCell ref="J228:K228"/>
    <mergeCell ref="B229:F229"/>
    <mergeCell ref="G229:H229"/>
    <mergeCell ref="J229:K229"/>
    <mergeCell ref="B230:F230"/>
    <mergeCell ref="G230:H230"/>
    <mergeCell ref="J230:K230"/>
    <mergeCell ref="B225:F225"/>
    <mergeCell ref="G225:H225"/>
    <mergeCell ref="J225:K225"/>
    <mergeCell ref="B226:F226"/>
    <mergeCell ref="G226:H226"/>
    <mergeCell ref="J226:K226"/>
    <mergeCell ref="B227:F227"/>
    <mergeCell ref="G227:H227"/>
    <mergeCell ref="J227:K227"/>
    <mergeCell ref="B218:K218"/>
    <mergeCell ref="D219:E219"/>
    <mergeCell ref="D220:E220"/>
    <mergeCell ref="B221:J221"/>
    <mergeCell ref="B222:K222"/>
    <mergeCell ref="B223:K223"/>
    <mergeCell ref="B224:F224"/>
    <mergeCell ref="G224:H224"/>
    <mergeCell ref="J224:K224"/>
    <mergeCell ref="B211:I211"/>
    <mergeCell ref="J211:K211"/>
    <mergeCell ref="B212:K212"/>
    <mergeCell ref="C213:E213"/>
    <mergeCell ref="G213:H213"/>
    <mergeCell ref="B214:K214"/>
    <mergeCell ref="D215:E215"/>
    <mergeCell ref="D216:E216"/>
    <mergeCell ref="C217:E217"/>
    <mergeCell ref="G217:H217"/>
    <mergeCell ref="B207:I207"/>
    <mergeCell ref="J207:K207"/>
    <mergeCell ref="B208:K208"/>
    <mergeCell ref="B209:D209"/>
    <mergeCell ref="H209:I209"/>
    <mergeCell ref="J209:K209"/>
    <mergeCell ref="B210:D210"/>
    <mergeCell ref="F210:G210"/>
    <mergeCell ref="H210:I210"/>
    <mergeCell ref="J210:K210"/>
    <mergeCell ref="B203:I203"/>
    <mergeCell ref="J203:K203"/>
    <mergeCell ref="B204:K204"/>
    <mergeCell ref="B205:D205"/>
    <mergeCell ref="H205:I205"/>
    <mergeCell ref="J205:K205"/>
    <mergeCell ref="B206:D206"/>
    <mergeCell ref="F206:G206"/>
    <mergeCell ref="H206:I206"/>
    <mergeCell ref="J206:K206"/>
    <mergeCell ref="B199:I199"/>
    <mergeCell ref="J199:K199"/>
    <mergeCell ref="B200:K200"/>
    <mergeCell ref="B201:D201"/>
    <mergeCell ref="H201:I201"/>
    <mergeCell ref="J201:K201"/>
    <mergeCell ref="B202:D202"/>
    <mergeCell ref="F202:G202"/>
    <mergeCell ref="H202:I202"/>
    <mergeCell ref="J202:K202"/>
    <mergeCell ref="B195:I195"/>
    <mergeCell ref="J195:K195"/>
    <mergeCell ref="B196:K196"/>
    <mergeCell ref="B197:D197"/>
    <mergeCell ref="H197:I197"/>
    <mergeCell ref="J197:K197"/>
    <mergeCell ref="B198:D198"/>
    <mergeCell ref="F198:G198"/>
    <mergeCell ref="H198:I198"/>
    <mergeCell ref="J198:K198"/>
    <mergeCell ref="B191:I191"/>
    <mergeCell ref="J191:K191"/>
    <mergeCell ref="B192:K192"/>
    <mergeCell ref="B193:D193"/>
    <mergeCell ref="H193:I193"/>
    <mergeCell ref="J193:K193"/>
    <mergeCell ref="B194:D194"/>
    <mergeCell ref="F194:G194"/>
    <mergeCell ref="H194:I194"/>
    <mergeCell ref="J194:K194"/>
    <mergeCell ref="B187:I187"/>
    <mergeCell ref="J187:K187"/>
    <mergeCell ref="B188:K188"/>
    <mergeCell ref="B189:D189"/>
    <mergeCell ref="H189:I189"/>
    <mergeCell ref="J189:K189"/>
    <mergeCell ref="B190:D190"/>
    <mergeCell ref="F190:G190"/>
    <mergeCell ref="H190:I190"/>
    <mergeCell ref="J190:K190"/>
    <mergeCell ref="B183:I183"/>
    <mergeCell ref="J183:K183"/>
    <mergeCell ref="B184:K184"/>
    <mergeCell ref="B185:D185"/>
    <mergeCell ref="H185:I185"/>
    <mergeCell ref="J185:K185"/>
    <mergeCell ref="B186:D186"/>
    <mergeCell ref="F186:G186"/>
    <mergeCell ref="H186:I186"/>
    <mergeCell ref="J186:K186"/>
    <mergeCell ref="B179:K179"/>
    <mergeCell ref="B180:D180"/>
    <mergeCell ref="E180:G180"/>
    <mergeCell ref="H180:I180"/>
    <mergeCell ref="J180:K180"/>
    <mergeCell ref="B181:D181"/>
    <mergeCell ref="H181:I181"/>
    <mergeCell ref="J181:K181"/>
    <mergeCell ref="B182:D182"/>
    <mergeCell ref="F182:G182"/>
    <mergeCell ref="H182:I182"/>
    <mergeCell ref="J182:K182"/>
    <mergeCell ref="C170:J170"/>
    <mergeCell ref="C171:J171"/>
    <mergeCell ref="C172:J172"/>
    <mergeCell ref="C173:J173"/>
    <mergeCell ref="C174:J174"/>
    <mergeCell ref="B175:J175"/>
    <mergeCell ref="C176:J176"/>
    <mergeCell ref="B177:J177"/>
    <mergeCell ref="B178:K178"/>
    <mergeCell ref="B162:K162"/>
    <mergeCell ref="B163:I163"/>
    <mergeCell ref="B164:D166"/>
    <mergeCell ref="E164:K164"/>
    <mergeCell ref="E165:K165"/>
    <mergeCell ref="E166:K166"/>
    <mergeCell ref="B167:K167"/>
    <mergeCell ref="B168:K168"/>
    <mergeCell ref="B169:J169"/>
    <mergeCell ref="C153:I153"/>
    <mergeCell ref="C154:I154"/>
    <mergeCell ref="C155:I155"/>
    <mergeCell ref="C156:I156"/>
    <mergeCell ref="C157:I157"/>
    <mergeCell ref="C158:I158"/>
    <mergeCell ref="C159:I159"/>
    <mergeCell ref="C160:I160"/>
    <mergeCell ref="B161:J161"/>
    <mergeCell ref="B144:K144"/>
    <mergeCell ref="B145:K145"/>
    <mergeCell ref="C146:I146"/>
    <mergeCell ref="B147:I147"/>
    <mergeCell ref="C148:I148"/>
    <mergeCell ref="B149:I149"/>
    <mergeCell ref="C150:I150"/>
    <mergeCell ref="B151:I151"/>
    <mergeCell ref="C152:I152"/>
    <mergeCell ref="B135:J135"/>
    <mergeCell ref="B136:K136"/>
    <mergeCell ref="B137:K137"/>
    <mergeCell ref="C138:J138"/>
    <mergeCell ref="C139:J139"/>
    <mergeCell ref="C140:J140"/>
    <mergeCell ref="C141:J141"/>
    <mergeCell ref="C142:J142"/>
    <mergeCell ref="B143:J143"/>
    <mergeCell ref="C126:J126"/>
    <mergeCell ref="B127:J127"/>
    <mergeCell ref="C128:J128"/>
    <mergeCell ref="B129:J129"/>
    <mergeCell ref="B130:K130"/>
    <mergeCell ref="B131:K131"/>
    <mergeCell ref="C132:J132"/>
    <mergeCell ref="C133:J133"/>
    <mergeCell ref="C134:J134"/>
    <mergeCell ref="C117:J117"/>
    <mergeCell ref="C118:J118"/>
    <mergeCell ref="C119:J119"/>
    <mergeCell ref="C120:J120"/>
    <mergeCell ref="B121:J121"/>
    <mergeCell ref="C122:J122"/>
    <mergeCell ref="B123:J123"/>
    <mergeCell ref="B124:K124"/>
    <mergeCell ref="C125:J125"/>
    <mergeCell ref="C108:I108"/>
    <mergeCell ref="B109:J109"/>
    <mergeCell ref="B110:K110"/>
    <mergeCell ref="B111:K111"/>
    <mergeCell ref="B112:J112"/>
    <mergeCell ref="B113:K113"/>
    <mergeCell ref="C114:J114"/>
    <mergeCell ref="C115:I115"/>
    <mergeCell ref="C116:J116"/>
    <mergeCell ref="D99:J99"/>
    <mergeCell ref="B100:J100"/>
    <mergeCell ref="B101:K101"/>
    <mergeCell ref="B102:K102"/>
    <mergeCell ref="C103:J103"/>
    <mergeCell ref="C104:J104"/>
    <mergeCell ref="C105:J105"/>
    <mergeCell ref="C106:J106"/>
    <mergeCell ref="C107:J107"/>
    <mergeCell ref="C90:I90"/>
    <mergeCell ref="C91:J91"/>
    <mergeCell ref="C92:J92"/>
    <mergeCell ref="B93:J93"/>
    <mergeCell ref="B94:K94"/>
    <mergeCell ref="B95:K95"/>
    <mergeCell ref="C96:J96"/>
    <mergeCell ref="D97:J97"/>
    <mergeCell ref="D98:J98"/>
    <mergeCell ref="B81:K81"/>
    <mergeCell ref="B82:K82"/>
    <mergeCell ref="C83:J83"/>
    <mergeCell ref="C84:J84"/>
    <mergeCell ref="C85:I85"/>
    <mergeCell ref="C86:I86"/>
    <mergeCell ref="C87:I87"/>
    <mergeCell ref="C88:J88"/>
    <mergeCell ref="C89:I89"/>
    <mergeCell ref="C72:I72"/>
    <mergeCell ref="C73:I73"/>
    <mergeCell ref="C74:E74"/>
    <mergeCell ref="C75:I75"/>
    <mergeCell ref="C76:I76"/>
    <mergeCell ref="C77:I77"/>
    <mergeCell ref="C78:I78"/>
    <mergeCell ref="C79:I79"/>
    <mergeCell ref="B80:I80"/>
    <mergeCell ref="C63:J63"/>
    <mergeCell ref="C64:I64"/>
    <mergeCell ref="C65:I65"/>
    <mergeCell ref="B66:J66"/>
    <mergeCell ref="C67:J67"/>
    <mergeCell ref="B68:J68"/>
    <mergeCell ref="B69:K69"/>
    <mergeCell ref="B70:K70"/>
    <mergeCell ref="C71:I71"/>
    <mergeCell ref="B55:K55"/>
    <mergeCell ref="C56:H56"/>
    <mergeCell ref="I56:J56"/>
    <mergeCell ref="C57:J57"/>
    <mergeCell ref="C58:I58"/>
    <mergeCell ref="B59:J59"/>
    <mergeCell ref="B60:K60"/>
    <mergeCell ref="B61:K61"/>
    <mergeCell ref="B62:K62"/>
    <mergeCell ref="C50:H50"/>
    <mergeCell ref="I50:K50"/>
    <mergeCell ref="C51:H51"/>
    <mergeCell ref="I51:K51"/>
    <mergeCell ref="C52:H52"/>
    <mergeCell ref="I52:K52"/>
    <mergeCell ref="C53:H53"/>
    <mergeCell ref="I53:K53"/>
    <mergeCell ref="B54:K54"/>
    <mergeCell ref="B42:J42"/>
    <mergeCell ref="B43:K43"/>
    <mergeCell ref="B44:J44"/>
    <mergeCell ref="B45:K45"/>
    <mergeCell ref="B46:K46"/>
    <mergeCell ref="B47:K47"/>
    <mergeCell ref="B48:K48"/>
    <mergeCell ref="C49:H49"/>
    <mergeCell ref="I49:K49"/>
    <mergeCell ref="B35:H35"/>
    <mergeCell ref="I35:J35"/>
    <mergeCell ref="B36:J36"/>
    <mergeCell ref="B37:K37"/>
    <mergeCell ref="B38:H38"/>
    <mergeCell ref="I38:J38"/>
    <mergeCell ref="B39:J39"/>
    <mergeCell ref="B40:K40"/>
    <mergeCell ref="B41:H41"/>
    <mergeCell ref="I41:J41"/>
    <mergeCell ref="B29:K29"/>
    <mergeCell ref="B30:H30"/>
    <mergeCell ref="I30:J30"/>
    <mergeCell ref="B31:H31"/>
    <mergeCell ref="I31:J31"/>
    <mergeCell ref="B32:H32"/>
    <mergeCell ref="I32:J32"/>
    <mergeCell ref="B33:J33"/>
    <mergeCell ref="B34:K34"/>
    <mergeCell ref="B24:H24"/>
    <mergeCell ref="I24:J24"/>
    <mergeCell ref="B25:H25"/>
    <mergeCell ref="I25:J25"/>
    <mergeCell ref="B26:H26"/>
    <mergeCell ref="I26:J26"/>
    <mergeCell ref="B27:H27"/>
    <mergeCell ref="I27:J27"/>
    <mergeCell ref="B28:J28"/>
    <mergeCell ref="B19:G19"/>
    <mergeCell ref="H19:I19"/>
    <mergeCell ref="J19:K19"/>
    <mergeCell ref="B20:I20"/>
    <mergeCell ref="J20:K20"/>
    <mergeCell ref="B21:K21"/>
    <mergeCell ref="B22:H22"/>
    <mergeCell ref="I22:J22"/>
    <mergeCell ref="B23:H23"/>
    <mergeCell ref="I23:J23"/>
    <mergeCell ref="B16:G16"/>
    <mergeCell ref="H16:I16"/>
    <mergeCell ref="J16:K16"/>
    <mergeCell ref="B17:G17"/>
    <mergeCell ref="H17:I17"/>
    <mergeCell ref="J17:K17"/>
    <mergeCell ref="B18:G18"/>
    <mergeCell ref="H18:I18"/>
    <mergeCell ref="J18:K18"/>
    <mergeCell ref="B13:G13"/>
    <mergeCell ref="H13:I13"/>
    <mergeCell ref="J13:K13"/>
    <mergeCell ref="B14:G14"/>
    <mergeCell ref="H14:I14"/>
    <mergeCell ref="J14:K14"/>
    <mergeCell ref="B15:G15"/>
    <mergeCell ref="H15:I15"/>
    <mergeCell ref="J15:K15"/>
    <mergeCell ref="C8:H8"/>
    <mergeCell ref="I8:K8"/>
    <mergeCell ref="C9:H9"/>
    <mergeCell ref="I9:K9"/>
    <mergeCell ref="C10:H10"/>
    <mergeCell ref="I10:K10"/>
    <mergeCell ref="B11:K11"/>
    <mergeCell ref="B12:G12"/>
    <mergeCell ref="H12:I12"/>
    <mergeCell ref="J12:K12"/>
    <mergeCell ref="B1:K1"/>
    <mergeCell ref="B2:K2"/>
    <mergeCell ref="B3:H3"/>
    <mergeCell ref="I3:K3"/>
    <mergeCell ref="B4:H4"/>
    <mergeCell ref="I4:K4"/>
    <mergeCell ref="I5:K5"/>
    <mergeCell ref="B6:K6"/>
    <mergeCell ref="C7:H7"/>
    <mergeCell ref="I7:K7"/>
  </mergeCells>
  <pageMargins left="0" right="0" top="0" bottom="0" header="0" footer="0"/>
  <pageSetup paperSize="9" scale="85" fitToHeight="0" orientation="portrait" r:id="rId1"/>
  <headerFooter>
    <oddHeader>&amp;C&amp;A</oddHeader>
    <oddFooter>&amp;CPágina &amp;P</oddFooter>
  </headerFooter>
  <rowBreaks count="4" manualBreakCount="4">
    <brk id="45" max="11" man="1"/>
    <brk id="101" max="11" man="1"/>
    <brk id="144" max="11" man="1"/>
    <brk id="211" max="11" man="1"/>
  </rowBreaks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C286"/>
  <sheetViews>
    <sheetView view="pageBreakPreview" topLeftCell="C75" zoomScale="60" zoomScaleNormal="120" workbookViewId="0">
      <selection activeCell="M85" sqref="M85"/>
    </sheetView>
  </sheetViews>
  <sheetFormatPr defaultColWidth="14.44140625" defaultRowHeight="13.2"/>
  <cols>
    <col min="1" max="1" width="2.109375" customWidth="1"/>
    <col min="2" max="2" width="49.88671875" customWidth="1"/>
    <col min="3" max="3" width="10" customWidth="1"/>
    <col min="4" max="4" width="13.44140625" customWidth="1"/>
    <col min="5" max="5" width="12.33203125" customWidth="1"/>
    <col min="6" max="6" width="11.44140625" customWidth="1"/>
    <col min="7" max="7" width="17.109375" customWidth="1"/>
    <col min="8" max="8" width="16.6640625" customWidth="1"/>
    <col min="9" max="9" width="14.33203125" customWidth="1"/>
    <col min="10" max="10" width="13.33203125" customWidth="1"/>
    <col min="11" max="11" width="8.88671875" customWidth="1"/>
    <col min="12" max="12" width="11" bestFit="1" customWidth="1"/>
    <col min="13" max="13" width="11.5546875" customWidth="1"/>
    <col min="14" max="14" width="12.6640625" customWidth="1"/>
    <col min="15" max="29" width="8.88671875" customWidth="1"/>
  </cols>
  <sheetData>
    <row r="1" spans="2:27" ht="22.05" customHeight="1">
      <c r="B1" s="176" t="s">
        <v>0</v>
      </c>
      <c r="C1" s="176"/>
      <c r="D1" s="176"/>
      <c r="E1" s="176"/>
      <c r="F1" s="176"/>
      <c r="G1" s="176"/>
      <c r="H1" s="176"/>
      <c r="I1" s="176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</row>
    <row r="2" spans="2:27" ht="41.55" customHeight="1">
      <c r="B2" s="158" t="s">
        <v>249</v>
      </c>
      <c r="C2" s="158"/>
      <c r="D2" s="158"/>
      <c r="E2" s="158"/>
      <c r="F2" s="158"/>
      <c r="G2" s="158"/>
      <c r="H2" s="158"/>
      <c r="I2" s="158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</row>
    <row r="3" spans="2:27" ht="12.75" customHeight="1">
      <c r="B3" s="159" t="s">
        <v>2</v>
      </c>
      <c r="C3" s="159"/>
      <c r="D3" s="159"/>
      <c r="E3" s="159"/>
      <c r="F3" s="159"/>
      <c r="G3" s="160" t="s">
        <v>257</v>
      </c>
      <c r="H3" s="160"/>
      <c r="I3" s="160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</row>
    <row r="4" spans="2:27" ht="12.75" customHeight="1">
      <c r="B4" s="159" t="s">
        <v>4</v>
      </c>
      <c r="C4" s="159"/>
      <c r="D4" s="159"/>
      <c r="E4" s="159"/>
      <c r="F4" s="159"/>
      <c r="G4" s="160" t="s">
        <v>257</v>
      </c>
      <c r="H4" s="160"/>
      <c r="I4" s="160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</row>
    <row r="5" spans="2:27" ht="12.75" customHeight="1">
      <c r="B5" s="263" t="s">
        <v>32</v>
      </c>
      <c r="C5" s="263"/>
      <c r="D5" s="263"/>
      <c r="E5" s="263"/>
      <c r="F5" s="263"/>
      <c r="G5" s="264" t="s">
        <v>257</v>
      </c>
      <c r="H5" s="264"/>
      <c r="I5" s="264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</row>
    <row r="7" spans="2:27" ht="27.6">
      <c r="B7" s="100" t="s">
        <v>258</v>
      </c>
      <c r="C7" s="100" t="s">
        <v>259</v>
      </c>
      <c r="D7" s="100" t="s">
        <v>260</v>
      </c>
      <c r="E7" s="100" t="s">
        <v>336</v>
      </c>
      <c r="F7" s="101" t="s">
        <v>262</v>
      </c>
      <c r="G7" s="101" t="s">
        <v>263</v>
      </c>
    </row>
    <row r="8" spans="2:27" ht="27.6">
      <c r="B8" s="102" t="s">
        <v>264</v>
      </c>
      <c r="C8" s="103" t="s">
        <v>265</v>
      </c>
      <c r="D8" s="104">
        <v>8</v>
      </c>
      <c r="E8" s="104">
        <f>(D8*12)</f>
        <v>96</v>
      </c>
      <c r="F8" s="105">
        <f>((10.28+14.25+13.82)/3)</f>
        <v>12.783333333333333</v>
      </c>
      <c r="G8" s="105">
        <f>F8*E8</f>
        <v>1227.2</v>
      </c>
      <c r="L8" s="51"/>
      <c r="M8" s="51"/>
      <c r="N8" s="51"/>
      <c r="O8" s="51"/>
    </row>
    <row r="9" spans="2:27" ht="27.6">
      <c r="B9" s="106" t="s">
        <v>266</v>
      </c>
      <c r="C9" s="107" t="s">
        <v>265</v>
      </c>
      <c r="D9" s="108">
        <v>4</v>
      </c>
      <c r="E9" s="104">
        <f t="shared" ref="E9:E59" si="0">(D9*12)</f>
        <v>48</v>
      </c>
      <c r="F9" s="105">
        <f>((33.71+32.92+36.9)/3)</f>
        <v>34.51</v>
      </c>
      <c r="G9" s="105">
        <f>F9*E9</f>
        <v>1656.48</v>
      </c>
      <c r="L9" s="51"/>
      <c r="M9" s="51"/>
      <c r="N9" s="51"/>
      <c r="O9" s="51"/>
    </row>
    <row r="10" spans="2:27" ht="27.6">
      <c r="B10" s="106" t="s">
        <v>267</v>
      </c>
      <c r="C10" s="107" t="s">
        <v>265</v>
      </c>
      <c r="D10" s="108">
        <v>4</v>
      </c>
      <c r="E10" s="104">
        <f t="shared" si="0"/>
        <v>48</v>
      </c>
      <c r="F10" s="105">
        <f>((36.9+38.08+35.76)/3)</f>
        <v>36.913333333333327</v>
      </c>
      <c r="G10" s="105">
        <f t="shared" ref="G10:G45" si="1">F10*E10</f>
        <v>1771.8399999999997</v>
      </c>
      <c r="L10" s="51"/>
      <c r="M10" s="51"/>
      <c r="N10" s="51"/>
      <c r="O10" s="51"/>
    </row>
    <row r="11" spans="2:27" ht="27.6">
      <c r="B11" s="106" t="s">
        <v>268</v>
      </c>
      <c r="C11" s="107" t="s">
        <v>265</v>
      </c>
      <c r="D11" s="108">
        <v>4</v>
      </c>
      <c r="E11" s="104">
        <f t="shared" si="0"/>
        <v>48</v>
      </c>
      <c r="F11" s="105">
        <f>((15.9+18.07+17.96)/3)</f>
        <v>17.309999999999999</v>
      </c>
      <c r="G11" s="105">
        <f t="shared" si="1"/>
        <v>830.87999999999988</v>
      </c>
      <c r="L11" s="51"/>
      <c r="M11" s="51"/>
      <c r="N11" s="51"/>
      <c r="O11" s="51"/>
    </row>
    <row r="12" spans="2:27" ht="27.6">
      <c r="B12" s="109" t="s">
        <v>269</v>
      </c>
      <c r="C12" s="107" t="s">
        <v>265</v>
      </c>
      <c r="D12" s="108">
        <v>6</v>
      </c>
      <c r="E12" s="104">
        <f t="shared" si="0"/>
        <v>72</v>
      </c>
      <c r="F12" s="105">
        <f>((11.9+11.19+12.69)/3)</f>
        <v>11.926666666666668</v>
      </c>
      <c r="G12" s="105">
        <f t="shared" si="1"/>
        <v>858.72</v>
      </c>
      <c r="L12" s="51"/>
      <c r="M12" s="51"/>
      <c r="N12" s="51"/>
      <c r="O12" s="51"/>
    </row>
    <row r="13" spans="2:27" ht="13.8">
      <c r="B13" s="106" t="s">
        <v>270</v>
      </c>
      <c r="C13" s="107" t="s">
        <v>271</v>
      </c>
      <c r="D13" s="108">
        <v>2</v>
      </c>
      <c r="E13" s="104">
        <f t="shared" si="0"/>
        <v>24</v>
      </c>
      <c r="F13" s="105">
        <f>((13.3+12.28+13.9)/3)</f>
        <v>13.159999999999998</v>
      </c>
      <c r="G13" s="105">
        <f t="shared" si="1"/>
        <v>315.83999999999997</v>
      </c>
      <c r="L13" s="51"/>
      <c r="M13" s="51"/>
      <c r="N13" s="51"/>
      <c r="O13" s="51"/>
    </row>
    <row r="14" spans="2:27" ht="13.8">
      <c r="B14" s="106" t="s">
        <v>272</v>
      </c>
      <c r="C14" s="107" t="s">
        <v>265</v>
      </c>
      <c r="D14" s="108">
        <v>2</v>
      </c>
      <c r="E14" s="104">
        <f t="shared" si="0"/>
        <v>24</v>
      </c>
      <c r="F14" s="105">
        <f>((16.36+19.5+18.99)/3)</f>
        <v>18.283333333333331</v>
      </c>
      <c r="G14" s="105">
        <f t="shared" si="1"/>
        <v>438.79999999999995</v>
      </c>
      <c r="L14" s="51"/>
      <c r="M14" s="51"/>
      <c r="N14" s="51"/>
      <c r="O14" s="51"/>
    </row>
    <row r="15" spans="2:27" ht="13.8">
      <c r="B15" s="106" t="s">
        <v>273</v>
      </c>
      <c r="C15" s="107" t="s">
        <v>271</v>
      </c>
      <c r="D15" s="108">
        <v>3</v>
      </c>
      <c r="E15" s="104">
        <f t="shared" si="0"/>
        <v>36</v>
      </c>
      <c r="F15" s="105">
        <f>((7.69+9.9+7.1)/3)</f>
        <v>8.2299999999999986</v>
      </c>
      <c r="G15" s="105">
        <f t="shared" si="1"/>
        <v>296.27999999999997</v>
      </c>
      <c r="L15" s="51"/>
      <c r="M15" s="51"/>
      <c r="N15" s="51"/>
      <c r="O15" s="51"/>
    </row>
    <row r="16" spans="2:27" ht="41.4">
      <c r="B16" s="110" t="s">
        <v>274</v>
      </c>
      <c r="C16" s="107" t="s">
        <v>275</v>
      </c>
      <c r="D16" s="108">
        <v>2</v>
      </c>
      <c r="E16" s="104">
        <f t="shared" si="0"/>
        <v>24</v>
      </c>
      <c r="F16" s="105">
        <f>((10+13.65+12.9)/3)</f>
        <v>12.183333333333332</v>
      </c>
      <c r="G16" s="105">
        <f t="shared" si="1"/>
        <v>292.39999999999998</v>
      </c>
      <c r="L16" s="51"/>
      <c r="M16" s="51"/>
      <c r="N16" s="51"/>
      <c r="O16" s="51"/>
    </row>
    <row r="17" spans="2:15" ht="13.8">
      <c r="B17" s="106" t="s">
        <v>276</v>
      </c>
      <c r="C17" s="107" t="s">
        <v>271</v>
      </c>
      <c r="D17" s="108">
        <v>12</v>
      </c>
      <c r="E17" s="104">
        <f t="shared" si="0"/>
        <v>144</v>
      </c>
      <c r="F17" s="105">
        <f>((4.99+5.1+5.19)/3)</f>
        <v>5.0933333333333337</v>
      </c>
      <c r="G17" s="105">
        <f t="shared" si="1"/>
        <v>733.44</v>
      </c>
      <c r="L17" s="51"/>
      <c r="M17" s="51"/>
      <c r="N17" s="51"/>
      <c r="O17" s="51"/>
    </row>
    <row r="18" spans="2:15" ht="55.2">
      <c r="B18" s="111" t="s">
        <v>277</v>
      </c>
      <c r="C18" s="103" t="s">
        <v>278</v>
      </c>
      <c r="D18" s="104">
        <v>1</v>
      </c>
      <c r="E18" s="104">
        <f t="shared" si="0"/>
        <v>12</v>
      </c>
      <c r="F18" s="105">
        <f>((45+53.88+46.8)/3)</f>
        <v>48.56</v>
      </c>
      <c r="G18" s="105">
        <f t="shared" si="1"/>
        <v>582.72</v>
      </c>
      <c r="L18" s="51"/>
      <c r="M18" s="51"/>
      <c r="N18" s="51"/>
      <c r="O18" s="51"/>
    </row>
    <row r="19" spans="2:15" ht="41.4">
      <c r="B19" s="111" t="s">
        <v>279</v>
      </c>
      <c r="C19" s="103" t="s">
        <v>265</v>
      </c>
      <c r="D19" s="104">
        <v>1</v>
      </c>
      <c r="E19" s="104">
        <f t="shared" si="0"/>
        <v>12</v>
      </c>
      <c r="F19" s="105">
        <f>((77.5+59+70)/3)</f>
        <v>68.833333333333329</v>
      </c>
      <c r="G19" s="105">
        <f t="shared" si="1"/>
        <v>826</v>
      </c>
      <c r="L19" s="51"/>
      <c r="M19" s="51"/>
      <c r="N19" s="51"/>
      <c r="O19" s="51"/>
    </row>
    <row r="20" spans="2:15" ht="13.8">
      <c r="B20" s="106" t="s">
        <v>280</v>
      </c>
      <c r="C20" s="107" t="s">
        <v>271</v>
      </c>
      <c r="D20" s="108">
        <v>48</v>
      </c>
      <c r="E20" s="104">
        <f t="shared" si="0"/>
        <v>576</v>
      </c>
      <c r="F20" s="105">
        <f>((1.4+1.57+1.59)/3)</f>
        <v>1.5199999999999998</v>
      </c>
      <c r="G20" s="105">
        <f t="shared" si="1"/>
        <v>875.51999999999987</v>
      </c>
      <c r="L20" s="51"/>
      <c r="M20" s="51"/>
      <c r="N20" s="51"/>
      <c r="O20" s="51"/>
    </row>
    <row r="21" spans="2:15" ht="13.8">
      <c r="B21" s="112" t="s">
        <v>281</v>
      </c>
      <c r="C21" s="103" t="s">
        <v>282</v>
      </c>
      <c r="D21" s="104">
        <v>1</v>
      </c>
      <c r="E21" s="104">
        <f t="shared" ref="E21:E39" si="2">(D21*12)</f>
        <v>12</v>
      </c>
      <c r="F21" s="105">
        <f>((54+43.28+44.91)/3)</f>
        <v>47.396666666666668</v>
      </c>
      <c r="G21" s="105">
        <f t="shared" ref="G21:G39" si="3">F21*E21</f>
        <v>568.76</v>
      </c>
      <c r="L21" s="51"/>
      <c r="M21" s="51"/>
      <c r="N21" s="51"/>
      <c r="O21" s="51"/>
    </row>
    <row r="22" spans="2:15" ht="13.8">
      <c r="B22" s="112" t="s">
        <v>283</v>
      </c>
      <c r="C22" s="103" t="s">
        <v>282</v>
      </c>
      <c r="D22" s="104">
        <v>1</v>
      </c>
      <c r="E22" s="104">
        <f t="shared" si="2"/>
        <v>12</v>
      </c>
      <c r="F22" s="105">
        <f>((28.58+23+32.99)/3)</f>
        <v>28.189999999999998</v>
      </c>
      <c r="G22" s="105">
        <f t="shared" si="3"/>
        <v>338.28</v>
      </c>
      <c r="L22" s="51"/>
      <c r="M22" s="51"/>
      <c r="N22" s="51"/>
      <c r="O22" s="51"/>
    </row>
    <row r="23" spans="2:15" ht="13.8">
      <c r="B23" s="112" t="s">
        <v>284</v>
      </c>
      <c r="C23" s="103" t="s">
        <v>282</v>
      </c>
      <c r="D23" s="104">
        <v>1</v>
      </c>
      <c r="E23" s="104">
        <f t="shared" si="2"/>
        <v>12</v>
      </c>
      <c r="F23" s="105">
        <f>((28.22+30.05+35.4)/3)</f>
        <v>31.223333333333329</v>
      </c>
      <c r="G23" s="105">
        <f t="shared" si="3"/>
        <v>374.67999999999995</v>
      </c>
      <c r="L23" s="51"/>
      <c r="M23" s="51"/>
      <c r="N23" s="51"/>
      <c r="O23" s="51"/>
    </row>
    <row r="24" spans="2:15" ht="13.8">
      <c r="B24" s="112" t="s">
        <v>285</v>
      </c>
      <c r="C24" s="103" t="s">
        <v>282</v>
      </c>
      <c r="D24" s="104">
        <v>1</v>
      </c>
      <c r="E24" s="104">
        <f t="shared" si="2"/>
        <v>12</v>
      </c>
      <c r="F24" s="105">
        <f>((30.05+38.39+39.9)/3)</f>
        <v>36.113333333333337</v>
      </c>
      <c r="G24" s="105">
        <f t="shared" si="3"/>
        <v>433.36</v>
      </c>
      <c r="L24" s="51"/>
      <c r="M24" s="51"/>
      <c r="N24" s="51"/>
      <c r="O24" s="51"/>
    </row>
    <row r="25" spans="2:15" ht="13.8">
      <c r="B25" s="112" t="s">
        <v>286</v>
      </c>
      <c r="C25" s="103" t="s">
        <v>282</v>
      </c>
      <c r="D25" s="104">
        <v>3</v>
      </c>
      <c r="E25" s="104">
        <f t="shared" si="2"/>
        <v>36</v>
      </c>
      <c r="F25" s="105">
        <f>((26.63+23.1+29.9)/3)</f>
        <v>26.543333333333333</v>
      </c>
      <c r="G25" s="105">
        <f t="shared" si="3"/>
        <v>955.56</v>
      </c>
      <c r="L25" s="51"/>
      <c r="M25" s="51"/>
      <c r="N25" s="51"/>
      <c r="O25" s="51"/>
    </row>
    <row r="26" spans="2:15" ht="13.8">
      <c r="B26" s="112" t="s">
        <v>287</v>
      </c>
      <c r="C26" s="103" t="s">
        <v>282</v>
      </c>
      <c r="D26" s="104">
        <v>1</v>
      </c>
      <c r="E26" s="104">
        <f t="shared" si="2"/>
        <v>12</v>
      </c>
      <c r="F26" s="105">
        <f>((27.9+23.87+19.9)/3)</f>
        <v>23.889999999999997</v>
      </c>
      <c r="G26" s="105">
        <f t="shared" si="3"/>
        <v>286.67999999999995</v>
      </c>
      <c r="L26" s="51"/>
      <c r="M26" s="51"/>
      <c r="N26" s="51"/>
      <c r="O26" s="51"/>
    </row>
    <row r="27" spans="2:15" ht="13.8">
      <c r="B27" s="112" t="s">
        <v>288</v>
      </c>
      <c r="C27" s="103" t="s">
        <v>282</v>
      </c>
      <c r="D27" s="104">
        <v>3</v>
      </c>
      <c r="E27" s="104">
        <f t="shared" si="2"/>
        <v>36</v>
      </c>
      <c r="F27" s="105">
        <f>(14.9+17.6+16.2)/3</f>
        <v>16.233333333333334</v>
      </c>
      <c r="G27" s="105">
        <f t="shared" si="3"/>
        <v>584.40000000000009</v>
      </c>
      <c r="L27" s="51"/>
      <c r="M27" s="51"/>
      <c r="N27" s="51"/>
      <c r="O27" s="51"/>
    </row>
    <row r="28" spans="2:15" ht="41.4">
      <c r="B28" s="109" t="s">
        <v>289</v>
      </c>
      <c r="C28" s="103" t="s">
        <v>290</v>
      </c>
      <c r="D28" s="104">
        <v>10</v>
      </c>
      <c r="E28" s="104">
        <f t="shared" si="2"/>
        <v>120</v>
      </c>
      <c r="F28" s="105">
        <f>((87.9+86.28+76.67)/3)</f>
        <v>83.616666666666674</v>
      </c>
      <c r="G28" s="105">
        <f t="shared" si="3"/>
        <v>10034</v>
      </c>
      <c r="L28" s="51"/>
      <c r="M28" s="51"/>
      <c r="N28" s="51"/>
      <c r="O28" s="51"/>
    </row>
    <row r="29" spans="2:15" ht="27.6">
      <c r="B29" s="106" t="s">
        <v>291</v>
      </c>
      <c r="C29" s="107" t="s">
        <v>282</v>
      </c>
      <c r="D29" s="104">
        <f>(6*22)</f>
        <v>132</v>
      </c>
      <c r="E29" s="104">
        <f t="shared" si="2"/>
        <v>1584</v>
      </c>
      <c r="F29" s="105">
        <f>((12.99+12+13.55)/3)</f>
        <v>12.846666666666669</v>
      </c>
      <c r="G29" s="105">
        <f t="shared" si="3"/>
        <v>20349.120000000003</v>
      </c>
      <c r="L29" s="51"/>
      <c r="M29" s="51"/>
      <c r="N29" s="51"/>
      <c r="O29" s="51"/>
    </row>
    <row r="30" spans="2:15" ht="27.6">
      <c r="B30" s="109" t="s">
        <v>292</v>
      </c>
      <c r="C30" s="107" t="s">
        <v>265</v>
      </c>
      <c r="D30" s="108">
        <v>4</v>
      </c>
      <c r="E30" s="104">
        <f t="shared" si="2"/>
        <v>48</v>
      </c>
      <c r="F30" s="105">
        <f>((20.72+18.75+18.9)/3)</f>
        <v>19.456666666666667</v>
      </c>
      <c r="G30" s="105">
        <f t="shared" si="3"/>
        <v>933.92000000000007</v>
      </c>
      <c r="L30" s="51"/>
      <c r="M30" s="51"/>
      <c r="N30" s="51"/>
      <c r="O30" s="51"/>
    </row>
    <row r="31" spans="2:15" ht="41.4">
      <c r="B31" s="106" t="s">
        <v>293</v>
      </c>
      <c r="C31" s="107" t="s">
        <v>294</v>
      </c>
      <c r="D31" s="108">
        <v>1</v>
      </c>
      <c r="E31" s="104">
        <f t="shared" si="2"/>
        <v>12</v>
      </c>
      <c r="F31" s="105">
        <f>((7.8+9.75+8.85)/3)</f>
        <v>8.7999999999999989</v>
      </c>
      <c r="G31" s="105">
        <f t="shared" si="3"/>
        <v>105.6</v>
      </c>
      <c r="L31" s="51"/>
      <c r="M31" s="51"/>
      <c r="N31" s="51"/>
      <c r="O31" s="51"/>
    </row>
    <row r="32" spans="2:15" ht="13.8">
      <c r="B32" s="106" t="s">
        <v>295</v>
      </c>
      <c r="C32" s="107" t="s">
        <v>282</v>
      </c>
      <c r="D32" s="108">
        <v>1</v>
      </c>
      <c r="E32" s="104">
        <f t="shared" si="2"/>
        <v>12</v>
      </c>
      <c r="F32" s="105">
        <f>((3+3.75+3.71)/3)</f>
        <v>3.4866666666666668</v>
      </c>
      <c r="G32" s="105">
        <f t="shared" si="3"/>
        <v>41.84</v>
      </c>
      <c r="L32" s="51"/>
      <c r="M32" s="51"/>
      <c r="N32" s="51"/>
      <c r="O32" s="51"/>
    </row>
    <row r="33" spans="2:15" ht="27.6">
      <c r="B33" s="106" t="s">
        <v>296</v>
      </c>
      <c r="C33" s="107" t="s">
        <v>271</v>
      </c>
      <c r="D33" s="108">
        <v>6</v>
      </c>
      <c r="E33" s="104">
        <f t="shared" si="2"/>
        <v>72</v>
      </c>
      <c r="F33" s="105">
        <f>((4.3+4.25+4.45)/3)</f>
        <v>4.333333333333333</v>
      </c>
      <c r="G33" s="105">
        <f t="shared" si="3"/>
        <v>312</v>
      </c>
      <c r="L33" s="51"/>
      <c r="M33" s="51"/>
      <c r="N33" s="51"/>
      <c r="O33" s="51"/>
    </row>
    <row r="34" spans="2:15" ht="27.6">
      <c r="B34" s="115" t="s">
        <v>297</v>
      </c>
      <c r="C34" s="103" t="s">
        <v>282</v>
      </c>
      <c r="D34" s="104">
        <v>1</v>
      </c>
      <c r="E34" s="104">
        <f t="shared" si="2"/>
        <v>12</v>
      </c>
      <c r="F34" s="105">
        <f>((21.78+19.4+21.2)/3)</f>
        <v>20.793333333333333</v>
      </c>
      <c r="G34" s="105">
        <f t="shared" si="3"/>
        <v>249.51999999999998</v>
      </c>
      <c r="L34" s="51"/>
      <c r="M34" s="51"/>
      <c r="N34" s="51"/>
      <c r="O34" s="51"/>
    </row>
    <row r="35" spans="2:15" ht="13.8">
      <c r="B35" s="106" t="s">
        <v>298</v>
      </c>
      <c r="C35" s="107" t="s">
        <v>271</v>
      </c>
      <c r="D35" s="108">
        <v>1</v>
      </c>
      <c r="E35" s="104">
        <f t="shared" si="2"/>
        <v>12</v>
      </c>
      <c r="F35" s="105">
        <f>((2.4+2.35+3.72)/3)</f>
        <v>2.8233333333333337</v>
      </c>
      <c r="G35" s="105">
        <f t="shared" si="3"/>
        <v>33.880000000000003</v>
      </c>
      <c r="L35" s="51"/>
      <c r="M35" s="51"/>
      <c r="N35" s="51"/>
      <c r="O35" s="51"/>
    </row>
    <row r="36" spans="2:15" ht="41.4">
      <c r="B36" s="109" t="s">
        <v>299</v>
      </c>
      <c r="C36" s="103" t="s">
        <v>300</v>
      </c>
      <c r="D36" s="104">
        <f>2*2</f>
        <v>4</v>
      </c>
      <c r="E36" s="104">
        <f t="shared" si="2"/>
        <v>48</v>
      </c>
      <c r="F36" s="105">
        <f>((3.79+3.49+4.04)/3)</f>
        <v>3.7733333333333334</v>
      </c>
      <c r="G36" s="105">
        <f t="shared" si="3"/>
        <v>181.12</v>
      </c>
      <c r="L36" s="51"/>
      <c r="M36" s="51"/>
      <c r="N36" s="51"/>
      <c r="O36" s="51"/>
    </row>
    <row r="37" spans="2:15" ht="41.4">
      <c r="B37" s="109" t="s">
        <v>301</v>
      </c>
      <c r="C37" s="103" t="s">
        <v>300</v>
      </c>
      <c r="D37" s="104">
        <f>2*7</f>
        <v>14</v>
      </c>
      <c r="E37" s="104">
        <f t="shared" si="2"/>
        <v>168</v>
      </c>
      <c r="F37" s="105">
        <f>((3.9+3.78+3.1)/3)</f>
        <v>3.5933333333333333</v>
      </c>
      <c r="G37" s="105">
        <f t="shared" si="3"/>
        <v>603.67999999999995</v>
      </c>
      <c r="L37" s="51"/>
      <c r="M37" s="51"/>
      <c r="N37" s="51"/>
      <c r="O37" s="51"/>
    </row>
    <row r="38" spans="2:15" ht="41.4">
      <c r="B38" s="144" t="s">
        <v>338</v>
      </c>
      <c r="C38" s="145" t="s">
        <v>259</v>
      </c>
      <c r="D38" s="146">
        <v>6</v>
      </c>
      <c r="E38" s="146">
        <f t="shared" si="2"/>
        <v>72</v>
      </c>
      <c r="F38" s="147">
        <f>((18.9+18.03+20.02)/3)</f>
        <v>18.983333333333334</v>
      </c>
      <c r="G38" s="147">
        <f t="shared" si="3"/>
        <v>1366.8000000000002</v>
      </c>
      <c r="I38" s="51"/>
      <c r="L38" s="51"/>
      <c r="M38" s="51"/>
      <c r="N38" s="51"/>
      <c r="O38" s="51"/>
    </row>
    <row r="39" spans="2:15" ht="27.6">
      <c r="B39" s="148" t="s">
        <v>339</v>
      </c>
      <c r="C39" s="145" t="s">
        <v>259</v>
      </c>
      <c r="D39" s="146">
        <v>2</v>
      </c>
      <c r="E39" s="146">
        <f t="shared" si="2"/>
        <v>24</v>
      </c>
      <c r="F39" s="147">
        <f>((42.97+45+40.44)/3)</f>
        <v>42.803333333333335</v>
      </c>
      <c r="G39" s="147">
        <f t="shared" si="3"/>
        <v>1027.28</v>
      </c>
      <c r="I39" s="51"/>
      <c r="L39" s="51"/>
      <c r="M39" s="51"/>
      <c r="N39" s="51"/>
      <c r="O39" s="51"/>
    </row>
    <row r="40" spans="2:15" ht="13.8">
      <c r="B40" s="149" t="s">
        <v>340</v>
      </c>
      <c r="C40" s="145" t="s">
        <v>271</v>
      </c>
      <c r="D40" s="146">
        <v>6</v>
      </c>
      <c r="E40" s="146">
        <f t="shared" si="0"/>
        <v>72</v>
      </c>
      <c r="F40" s="147">
        <f>((17.4+15.9+16.9)/3)</f>
        <v>16.733333333333331</v>
      </c>
      <c r="G40" s="147">
        <f t="shared" si="1"/>
        <v>1204.7999999999997</v>
      </c>
      <c r="I40" s="51"/>
      <c r="L40" s="51"/>
      <c r="M40" s="51"/>
      <c r="N40" s="51"/>
      <c r="O40" s="51"/>
    </row>
    <row r="41" spans="2:15" ht="13.8">
      <c r="B41" s="150" t="s">
        <v>341</v>
      </c>
      <c r="C41" s="151" t="s">
        <v>271</v>
      </c>
      <c r="D41" s="152">
        <v>2</v>
      </c>
      <c r="E41" s="146">
        <f t="shared" si="0"/>
        <v>24</v>
      </c>
      <c r="F41" s="147">
        <f>((16.9+18.26+19.9)/3)</f>
        <v>18.353333333333332</v>
      </c>
      <c r="G41" s="147">
        <f t="shared" si="1"/>
        <v>440.47999999999996</v>
      </c>
      <c r="I41" s="51"/>
      <c r="L41" s="51"/>
      <c r="M41" s="51"/>
      <c r="N41" s="51"/>
      <c r="O41" s="51"/>
    </row>
    <row r="42" spans="2:15" ht="13.8">
      <c r="B42" s="150" t="s">
        <v>342</v>
      </c>
      <c r="C42" s="151" t="s">
        <v>271</v>
      </c>
      <c r="D42" s="152">
        <v>2</v>
      </c>
      <c r="E42" s="146">
        <f t="shared" si="0"/>
        <v>24</v>
      </c>
      <c r="F42" s="147">
        <f>((9.49+10.2+8)/3)</f>
        <v>9.2299999999999986</v>
      </c>
      <c r="G42" s="147">
        <f t="shared" si="1"/>
        <v>221.51999999999998</v>
      </c>
      <c r="I42" s="51"/>
      <c r="L42" s="51"/>
      <c r="M42" s="51"/>
      <c r="N42" s="51"/>
      <c r="O42" s="51"/>
    </row>
    <row r="43" spans="2:15" ht="27.6">
      <c r="B43" s="153" t="s">
        <v>343</v>
      </c>
      <c r="C43" s="151" t="s">
        <v>271</v>
      </c>
      <c r="D43" s="152">
        <v>2</v>
      </c>
      <c r="E43" s="146">
        <f t="shared" si="0"/>
        <v>24</v>
      </c>
      <c r="F43" s="147">
        <f>((3.17+3.6+3.79)/3)</f>
        <v>3.5199999999999996</v>
      </c>
      <c r="G43" s="147">
        <f t="shared" si="1"/>
        <v>84.47999999999999</v>
      </c>
      <c r="I43" s="51"/>
      <c r="L43" s="51"/>
      <c r="M43" s="51"/>
      <c r="N43" s="51"/>
      <c r="O43" s="51"/>
    </row>
    <row r="44" spans="2:15" ht="55.2">
      <c r="B44" s="149" t="s">
        <v>344</v>
      </c>
      <c r="C44" s="145" t="s">
        <v>271</v>
      </c>
      <c r="D44" s="146">
        <v>2</v>
      </c>
      <c r="E44" s="146">
        <f t="shared" si="0"/>
        <v>24</v>
      </c>
      <c r="F44" s="147">
        <f>((4.85+3.9+5.36)/3)</f>
        <v>4.7033333333333331</v>
      </c>
      <c r="G44" s="147">
        <f t="shared" si="1"/>
        <v>112.88</v>
      </c>
      <c r="I44" s="51"/>
      <c r="L44" s="51"/>
      <c r="M44" s="51"/>
      <c r="N44" s="51"/>
      <c r="O44" s="51"/>
    </row>
    <row r="45" spans="2:15" ht="27.6">
      <c r="B45" s="150" t="s">
        <v>345</v>
      </c>
      <c r="C45" s="151" t="s">
        <v>271</v>
      </c>
      <c r="D45" s="152">
        <v>1</v>
      </c>
      <c r="E45" s="146">
        <f t="shared" si="0"/>
        <v>12</v>
      </c>
      <c r="F45" s="147">
        <f>((285.98+261.99+232.9)/3)</f>
        <v>260.29000000000002</v>
      </c>
      <c r="G45" s="147">
        <f t="shared" si="1"/>
        <v>3123.4800000000005</v>
      </c>
      <c r="I45" s="51"/>
      <c r="L45" s="51"/>
      <c r="M45" s="51"/>
      <c r="N45" s="51"/>
      <c r="O45" s="51"/>
    </row>
    <row r="46" spans="2:15" ht="13.8">
      <c r="B46" s="153" t="s">
        <v>346</v>
      </c>
      <c r="C46" s="151" t="s">
        <v>271</v>
      </c>
      <c r="D46" s="152">
        <v>1</v>
      </c>
      <c r="E46" s="146">
        <f t="shared" si="0"/>
        <v>12</v>
      </c>
      <c r="F46" s="147">
        <f>((79.9+75.99+61.9)/3)</f>
        <v>72.596666666666664</v>
      </c>
      <c r="G46" s="147">
        <f t="shared" ref="G46:G57" si="4">F46*E46</f>
        <v>871.16</v>
      </c>
      <c r="I46" s="51"/>
      <c r="L46" s="51"/>
      <c r="M46" s="51"/>
      <c r="N46" s="51"/>
      <c r="O46" s="51"/>
    </row>
    <row r="47" spans="2:15" ht="13.8">
      <c r="B47" s="153" t="s">
        <v>347</v>
      </c>
      <c r="C47" s="154" t="s">
        <v>271</v>
      </c>
      <c r="D47" s="152">
        <v>6</v>
      </c>
      <c r="E47" s="146">
        <f t="shared" si="0"/>
        <v>72</v>
      </c>
      <c r="F47" s="147">
        <f>((7.99+8.9+7.8)/3)</f>
        <v>8.23</v>
      </c>
      <c r="G47" s="147">
        <f t="shared" si="4"/>
        <v>592.56000000000006</v>
      </c>
      <c r="I47" s="51"/>
      <c r="L47" s="51"/>
      <c r="M47" s="51"/>
      <c r="N47" s="51"/>
      <c r="O47" s="51"/>
    </row>
    <row r="48" spans="2:15" ht="41.4">
      <c r="B48" s="153" t="s">
        <v>348</v>
      </c>
      <c r="C48" s="151" t="s">
        <v>271</v>
      </c>
      <c r="D48" s="152">
        <v>1</v>
      </c>
      <c r="E48" s="146">
        <f t="shared" si="0"/>
        <v>12</v>
      </c>
      <c r="F48" s="147">
        <f>((84.22+89.9+72.71)/3)</f>
        <v>82.276666666666657</v>
      </c>
      <c r="G48" s="147">
        <f t="shared" si="4"/>
        <v>987.31999999999994</v>
      </c>
      <c r="I48" s="51"/>
      <c r="L48" s="51"/>
      <c r="M48" s="51"/>
      <c r="N48" s="51"/>
      <c r="O48" s="51"/>
    </row>
    <row r="49" spans="2:29" ht="27.6">
      <c r="B49" s="155" t="s">
        <v>349</v>
      </c>
      <c r="C49" s="151" t="s">
        <v>271</v>
      </c>
      <c r="D49" s="152">
        <v>6</v>
      </c>
      <c r="E49" s="146">
        <f t="shared" si="0"/>
        <v>72</v>
      </c>
      <c r="F49" s="147">
        <f>((13.8+14.16+14.76)/3)</f>
        <v>14.24</v>
      </c>
      <c r="G49" s="147">
        <f t="shared" si="4"/>
        <v>1025.28</v>
      </c>
      <c r="I49" s="51"/>
      <c r="L49" s="51"/>
      <c r="M49" s="51"/>
      <c r="N49" s="51"/>
      <c r="O49" s="51"/>
    </row>
    <row r="50" spans="2:29" ht="27.6">
      <c r="B50" s="153" t="s">
        <v>350</v>
      </c>
      <c r="C50" s="151" t="s">
        <v>271</v>
      </c>
      <c r="D50" s="152">
        <v>6</v>
      </c>
      <c r="E50" s="146">
        <f t="shared" si="0"/>
        <v>72</v>
      </c>
      <c r="F50" s="147">
        <f>((4.15+5.9+5.78)/3)</f>
        <v>5.2766666666666673</v>
      </c>
      <c r="G50" s="147">
        <f t="shared" si="4"/>
        <v>379.92000000000007</v>
      </c>
      <c r="I50" s="51"/>
      <c r="L50" s="51"/>
      <c r="M50" s="51"/>
      <c r="N50" s="51"/>
      <c r="O50" s="51"/>
    </row>
    <row r="51" spans="2:29" ht="41.4">
      <c r="B51" s="148" t="s">
        <v>351</v>
      </c>
      <c r="C51" s="145" t="s">
        <v>271</v>
      </c>
      <c r="D51" s="146">
        <v>1</v>
      </c>
      <c r="E51" s="146">
        <f t="shared" si="0"/>
        <v>12</v>
      </c>
      <c r="F51" s="147">
        <f>((19.53+14.06+17.77)/3)</f>
        <v>17.12</v>
      </c>
      <c r="G51" s="147">
        <f t="shared" si="4"/>
        <v>205.44</v>
      </c>
      <c r="I51" s="51"/>
      <c r="L51" s="51"/>
      <c r="M51" s="51"/>
      <c r="N51" s="51"/>
      <c r="O51" s="51"/>
    </row>
    <row r="52" spans="2:29" ht="41.4">
      <c r="B52" s="148" t="s">
        <v>352</v>
      </c>
      <c r="C52" s="145" t="s">
        <v>271</v>
      </c>
      <c r="D52" s="146">
        <v>1</v>
      </c>
      <c r="E52" s="146">
        <f t="shared" si="0"/>
        <v>12</v>
      </c>
      <c r="F52" s="147">
        <f>((19.48+20.79+17.24)/3)</f>
        <v>19.169999999999998</v>
      </c>
      <c r="G52" s="147">
        <f t="shared" si="4"/>
        <v>230.03999999999996</v>
      </c>
      <c r="I52" s="51"/>
      <c r="L52" s="51"/>
      <c r="M52" s="51"/>
      <c r="N52" s="51"/>
      <c r="O52" s="51"/>
    </row>
    <row r="53" spans="2:29" ht="41.4">
      <c r="B53" s="148" t="s">
        <v>360</v>
      </c>
      <c r="C53" s="145" t="s">
        <v>271</v>
      </c>
      <c r="D53" s="146">
        <v>1</v>
      </c>
      <c r="E53" s="146">
        <f t="shared" si="0"/>
        <v>12</v>
      </c>
      <c r="F53" s="147">
        <f>((17.24+19.41+17.91)/3)</f>
        <v>18.186666666666667</v>
      </c>
      <c r="G53" s="147">
        <f t="shared" si="4"/>
        <v>218.24</v>
      </c>
      <c r="I53" s="51"/>
      <c r="L53" s="51"/>
      <c r="M53" s="51"/>
      <c r="N53" s="51"/>
      <c r="O53" s="51"/>
    </row>
    <row r="54" spans="2:29" ht="41.4">
      <c r="B54" s="148" t="s">
        <v>353</v>
      </c>
      <c r="C54" s="145" t="s">
        <v>259</v>
      </c>
      <c r="D54" s="146">
        <v>1</v>
      </c>
      <c r="E54" s="146">
        <f t="shared" si="0"/>
        <v>12</v>
      </c>
      <c r="F54" s="147">
        <f>((26.9+24.99+25.49)/3)</f>
        <v>25.793333333333333</v>
      </c>
      <c r="G54" s="147">
        <f t="shared" si="4"/>
        <v>309.52</v>
      </c>
      <c r="I54" s="51"/>
      <c r="L54" s="51"/>
      <c r="M54" s="51"/>
      <c r="N54" s="51"/>
      <c r="O54" s="51"/>
    </row>
    <row r="55" spans="2:29" ht="27.6">
      <c r="B55" s="148" t="s">
        <v>354</v>
      </c>
      <c r="C55" s="145" t="s">
        <v>271</v>
      </c>
      <c r="D55" s="146">
        <v>6</v>
      </c>
      <c r="E55" s="146">
        <f t="shared" si="0"/>
        <v>72</v>
      </c>
      <c r="F55" s="147">
        <f>((1.52+1.95+1.45)/3)</f>
        <v>1.64</v>
      </c>
      <c r="G55" s="147">
        <f t="shared" si="4"/>
        <v>118.08</v>
      </c>
      <c r="I55" s="51"/>
      <c r="L55" s="51"/>
      <c r="M55" s="51"/>
      <c r="N55" s="51"/>
      <c r="O55" s="51"/>
    </row>
    <row r="56" spans="2:29" ht="13.8">
      <c r="B56" s="148" t="s">
        <v>356</v>
      </c>
      <c r="C56" s="145" t="s">
        <v>271</v>
      </c>
      <c r="D56" s="146">
        <v>6</v>
      </c>
      <c r="E56" s="146">
        <f t="shared" si="0"/>
        <v>72</v>
      </c>
      <c r="F56" s="147">
        <f>((4.3+3.64+2.58)/3)</f>
        <v>3.5066666666666664</v>
      </c>
      <c r="G56" s="147">
        <f t="shared" si="4"/>
        <v>252.48</v>
      </c>
      <c r="I56" s="51"/>
      <c r="L56" s="51"/>
      <c r="M56" s="51"/>
      <c r="N56" s="51"/>
      <c r="O56" s="51"/>
    </row>
    <row r="57" spans="2:29" ht="13.8">
      <c r="B57" s="156" t="s">
        <v>355</v>
      </c>
      <c r="C57" s="145" t="s">
        <v>271</v>
      </c>
      <c r="D57" s="146">
        <v>6</v>
      </c>
      <c r="E57" s="146">
        <f t="shared" si="0"/>
        <v>72</v>
      </c>
      <c r="F57" s="147">
        <f>((35.9+38.19+42.99)/3)</f>
        <v>39.026666666666671</v>
      </c>
      <c r="G57" s="147">
        <f t="shared" si="4"/>
        <v>2809.92</v>
      </c>
      <c r="I57" s="51"/>
      <c r="K57" s="99"/>
      <c r="L57" s="51"/>
      <c r="M57" s="51"/>
      <c r="N57" s="51"/>
      <c r="O57" s="51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/>
    </row>
    <row r="58" spans="2:29" ht="27.6">
      <c r="B58" s="148" t="s">
        <v>357</v>
      </c>
      <c r="C58" s="145" t="s">
        <v>271</v>
      </c>
      <c r="D58" s="146">
        <v>6</v>
      </c>
      <c r="E58" s="146">
        <f t="shared" si="0"/>
        <v>72</v>
      </c>
      <c r="F58" s="147">
        <f>((87.2+78.3+94.86)/3)</f>
        <v>86.786666666666676</v>
      </c>
      <c r="G58" s="147">
        <f t="shared" ref="G58" si="5">F58*E58</f>
        <v>6248.64</v>
      </c>
      <c r="I58" s="51"/>
      <c r="K58" s="99"/>
      <c r="L58" s="51"/>
      <c r="M58" s="51"/>
      <c r="N58" s="51"/>
      <c r="O58" s="51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/>
    </row>
    <row r="59" spans="2:29" ht="13.8">
      <c r="B59" s="148" t="s">
        <v>358</v>
      </c>
      <c r="C59" s="145" t="s">
        <v>271</v>
      </c>
      <c r="D59" s="146">
        <v>6</v>
      </c>
      <c r="E59" s="146">
        <f t="shared" si="0"/>
        <v>72</v>
      </c>
      <c r="F59" s="147">
        <f>((24+15+15)/3)</f>
        <v>18</v>
      </c>
      <c r="G59" s="147">
        <f>F59*E59</f>
        <v>1296</v>
      </c>
      <c r="I59" s="51"/>
      <c r="K59" s="99"/>
      <c r="L59" s="51"/>
      <c r="M59" s="51"/>
      <c r="N59" s="51"/>
      <c r="O59" s="51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</row>
    <row r="60" spans="2:29" ht="13.8">
      <c r="B60" s="266" t="s">
        <v>302</v>
      </c>
      <c r="C60" s="267"/>
      <c r="D60" s="267"/>
      <c r="E60" s="267"/>
      <c r="F60" s="268"/>
      <c r="G60" s="117">
        <f>SUM(G8:G59)</f>
        <v>70218.840000000011</v>
      </c>
      <c r="I60" s="51"/>
      <c r="J60" s="51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</row>
    <row r="61" spans="2:29">
      <c r="B61" s="269" t="s">
        <v>303</v>
      </c>
      <c r="C61" s="270"/>
      <c r="D61" s="270"/>
      <c r="E61" s="270"/>
      <c r="F61" s="271"/>
      <c r="G61" s="118">
        <f>G60/12</f>
        <v>5851.5700000000006</v>
      </c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</row>
    <row r="62" spans="2:29">
      <c r="B62" s="143" t="s">
        <v>359</v>
      </c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</row>
    <row r="63" spans="2:29">
      <c r="B63" s="99"/>
      <c r="C63" s="119"/>
      <c r="D63" s="119"/>
      <c r="E63" s="119"/>
      <c r="F63" s="120"/>
      <c r="G63" s="120"/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</row>
    <row r="64" spans="2:29" ht="55.2">
      <c r="B64" s="100" t="s">
        <v>304</v>
      </c>
      <c r="C64" s="100" t="s">
        <v>259</v>
      </c>
      <c r="D64" s="100" t="s">
        <v>305</v>
      </c>
      <c r="E64" s="100" t="s">
        <v>306</v>
      </c>
      <c r="F64" s="100" t="s">
        <v>261</v>
      </c>
      <c r="G64" s="101" t="s">
        <v>262</v>
      </c>
      <c r="H64" s="101" t="s">
        <v>263</v>
      </c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</row>
    <row r="65" spans="2:29" ht="27.6">
      <c r="B65" s="111" t="s">
        <v>307</v>
      </c>
      <c r="C65" s="114" t="s">
        <v>271</v>
      </c>
      <c r="D65" s="114">
        <v>1</v>
      </c>
      <c r="E65" s="114">
        <v>60</v>
      </c>
      <c r="F65" s="121">
        <f t="shared" ref="F65:F74" si="6">(12/60)*D65</f>
        <v>0.2</v>
      </c>
      <c r="G65" s="122">
        <f>((359.9+349+399)/3)</f>
        <v>369.3</v>
      </c>
      <c r="H65" s="123">
        <f t="shared" ref="H65:H74" si="7">F65*G65</f>
        <v>73.86</v>
      </c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99"/>
    </row>
    <row r="66" spans="2:29" ht="27.6">
      <c r="B66" s="113" t="s">
        <v>308</v>
      </c>
      <c r="C66" s="114" t="s">
        <v>271</v>
      </c>
      <c r="D66" s="114">
        <v>1</v>
      </c>
      <c r="E66" s="114">
        <v>60</v>
      </c>
      <c r="F66" s="121">
        <f t="shared" si="6"/>
        <v>0.2</v>
      </c>
      <c r="G66" s="122">
        <f>((78.99+69.9+74.1)/3)</f>
        <v>74.33</v>
      </c>
      <c r="H66" s="123">
        <f t="shared" si="7"/>
        <v>14.866</v>
      </c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99"/>
    </row>
    <row r="67" spans="2:29" ht="27.6">
      <c r="B67" s="111" t="s">
        <v>309</v>
      </c>
      <c r="C67" s="124" t="s">
        <v>271</v>
      </c>
      <c r="D67" s="124">
        <v>2</v>
      </c>
      <c r="E67" s="124">
        <v>60</v>
      </c>
      <c r="F67" s="121">
        <f t="shared" si="6"/>
        <v>0.4</v>
      </c>
      <c r="G67" s="125">
        <f>((539.1+651.51+679.58)/3)</f>
        <v>623.39666666666665</v>
      </c>
      <c r="H67" s="123">
        <f t="shared" si="7"/>
        <v>249.35866666666666</v>
      </c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99"/>
    </row>
    <row r="68" spans="2:29" ht="82.8">
      <c r="B68" s="116" t="s">
        <v>310</v>
      </c>
      <c r="C68" s="124" t="s">
        <v>311</v>
      </c>
      <c r="D68" s="124">
        <v>6</v>
      </c>
      <c r="E68" s="124">
        <v>60</v>
      </c>
      <c r="F68" s="121">
        <f t="shared" si="6"/>
        <v>1.2000000000000002</v>
      </c>
      <c r="G68" s="125">
        <f>((429.9+489+494.98)/3)</f>
        <v>471.29333333333335</v>
      </c>
      <c r="H68" s="123">
        <f t="shared" si="7"/>
        <v>565.55200000000013</v>
      </c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99"/>
    </row>
    <row r="69" spans="2:29" ht="55.2">
      <c r="B69" s="109" t="s">
        <v>312</v>
      </c>
      <c r="C69" s="114" t="s">
        <v>271</v>
      </c>
      <c r="D69" s="114">
        <v>1</v>
      </c>
      <c r="E69" s="114">
        <v>60</v>
      </c>
      <c r="F69" s="121">
        <f t="shared" si="6"/>
        <v>0.2</v>
      </c>
      <c r="G69" s="122">
        <f>((3196.67+3895+3699)/3)</f>
        <v>3596.89</v>
      </c>
      <c r="H69" s="123">
        <f t="shared" si="7"/>
        <v>719.37800000000004</v>
      </c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99"/>
    </row>
    <row r="70" spans="2:29" ht="27.6">
      <c r="B70" s="109" t="s">
        <v>313</v>
      </c>
      <c r="C70" s="107" t="s">
        <v>271</v>
      </c>
      <c r="D70" s="107">
        <v>2</v>
      </c>
      <c r="E70" s="114">
        <v>60</v>
      </c>
      <c r="F70" s="121">
        <f t="shared" si="6"/>
        <v>0.4</v>
      </c>
      <c r="G70" s="122">
        <f>((114.95+99+80.9)/3)</f>
        <v>98.283333333333346</v>
      </c>
      <c r="H70" s="123">
        <f t="shared" si="7"/>
        <v>39.31333333333334</v>
      </c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99"/>
    </row>
    <row r="71" spans="2:29" ht="27.6">
      <c r="B71" s="109" t="s">
        <v>314</v>
      </c>
      <c r="C71" s="103" t="s">
        <v>271</v>
      </c>
      <c r="D71" s="103">
        <v>2</v>
      </c>
      <c r="E71" s="124">
        <v>60</v>
      </c>
      <c r="F71" s="121">
        <f t="shared" si="6"/>
        <v>0.4</v>
      </c>
      <c r="G71" s="125">
        <f>((250.83+247+244.35)/3)</f>
        <v>247.39333333333335</v>
      </c>
      <c r="H71" s="123">
        <f t="shared" si="7"/>
        <v>98.957333333333338</v>
      </c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99"/>
    </row>
    <row r="72" spans="2:29" ht="27.6">
      <c r="B72" s="109" t="s">
        <v>315</v>
      </c>
      <c r="C72" s="103" t="s">
        <v>271</v>
      </c>
      <c r="D72" s="103">
        <v>1</v>
      </c>
      <c r="E72" s="124">
        <v>60</v>
      </c>
      <c r="F72" s="121">
        <f t="shared" si="6"/>
        <v>0.2</v>
      </c>
      <c r="G72" s="125">
        <f>((149.9+164.01+192.5)/3)</f>
        <v>168.80333333333331</v>
      </c>
      <c r="H72" s="123">
        <f t="shared" si="7"/>
        <v>33.760666666666665</v>
      </c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99"/>
    </row>
    <row r="73" spans="2:29" ht="27.6">
      <c r="B73" s="111" t="s">
        <v>316</v>
      </c>
      <c r="C73" s="103" t="s">
        <v>271</v>
      </c>
      <c r="D73" s="103">
        <v>1</v>
      </c>
      <c r="E73" s="124">
        <v>60</v>
      </c>
      <c r="F73" s="121">
        <f t="shared" si="6"/>
        <v>0.2</v>
      </c>
      <c r="G73" s="125">
        <f>((219.9+254.9+266)/3)</f>
        <v>246.93333333333331</v>
      </c>
      <c r="H73" s="123">
        <f t="shared" si="7"/>
        <v>49.386666666666663</v>
      </c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99"/>
    </row>
    <row r="74" spans="2:29" ht="27.6">
      <c r="B74" s="111" t="s">
        <v>317</v>
      </c>
      <c r="C74" s="103" t="s">
        <v>259</v>
      </c>
      <c r="D74" s="103">
        <v>1</v>
      </c>
      <c r="E74" s="124">
        <v>60</v>
      </c>
      <c r="F74" s="121">
        <f t="shared" si="6"/>
        <v>0.2</v>
      </c>
      <c r="G74" s="125">
        <f>((550+742.5+650)/3)</f>
        <v>647.5</v>
      </c>
      <c r="H74" s="123">
        <f t="shared" si="7"/>
        <v>129.5</v>
      </c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99"/>
    </row>
    <row r="75" spans="2:29" ht="13.8">
      <c r="B75" s="265" t="s">
        <v>302</v>
      </c>
      <c r="C75" s="265"/>
      <c r="D75" s="265"/>
      <c r="E75" s="265"/>
      <c r="F75" s="265"/>
      <c r="G75" s="265"/>
      <c r="H75" s="117">
        <f>SUM(H65:H74)</f>
        <v>1973.9326666666668</v>
      </c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99"/>
    </row>
    <row r="76" spans="2:29" ht="13.8">
      <c r="B76" s="265" t="s">
        <v>303</v>
      </c>
      <c r="C76" s="265"/>
      <c r="D76" s="265"/>
      <c r="E76" s="265"/>
      <c r="F76" s="265"/>
      <c r="G76" s="265"/>
      <c r="H76" s="117">
        <f>H75/12</f>
        <v>164.49438888888889</v>
      </c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99"/>
    </row>
    <row r="77" spans="2:29" ht="13.8">
      <c r="B77" s="126"/>
      <c r="C77" s="127"/>
      <c r="D77" s="127"/>
      <c r="E77" s="127"/>
      <c r="F77" s="127"/>
      <c r="G77" s="127"/>
      <c r="H77" s="127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99"/>
    </row>
    <row r="78" spans="2:29" ht="26.4">
      <c r="B78" s="128" t="s">
        <v>318</v>
      </c>
      <c r="C78" s="129" t="s">
        <v>259</v>
      </c>
      <c r="D78" s="129" t="s">
        <v>261</v>
      </c>
      <c r="E78" s="130" t="s">
        <v>262</v>
      </c>
      <c r="F78" s="130" t="s">
        <v>263</v>
      </c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99"/>
    </row>
    <row r="79" spans="2:29" ht="13.8">
      <c r="B79" s="113" t="s">
        <v>319</v>
      </c>
      <c r="C79" s="114" t="s">
        <v>271</v>
      </c>
      <c r="D79" s="131">
        <v>2</v>
      </c>
      <c r="E79" s="123">
        <f>((49.9+53+52.9)/3)</f>
        <v>51.933333333333337</v>
      </c>
      <c r="F79" s="123">
        <f t="shared" ref="F79:F85" si="8">D79*E79</f>
        <v>103.86666666666667</v>
      </c>
      <c r="K79" s="132"/>
    </row>
    <row r="80" spans="2:29" ht="41.4">
      <c r="B80" s="113" t="s">
        <v>320</v>
      </c>
      <c r="C80" s="114" t="s">
        <v>271</v>
      </c>
      <c r="D80" s="131">
        <v>2</v>
      </c>
      <c r="E80" s="123">
        <f>((43.9+43.23+47.9)/3)</f>
        <v>45.01</v>
      </c>
      <c r="F80" s="123">
        <f t="shared" si="8"/>
        <v>90.02</v>
      </c>
      <c r="K80" s="132"/>
    </row>
    <row r="81" spans="2:29" ht="27.6">
      <c r="B81" s="113" t="s">
        <v>321</v>
      </c>
      <c r="C81" s="114" t="s">
        <v>271</v>
      </c>
      <c r="D81" s="131">
        <v>2</v>
      </c>
      <c r="E81" s="123">
        <f>((27+21.9+27.9)/3)</f>
        <v>25.599999999999998</v>
      </c>
      <c r="F81" s="123">
        <f t="shared" si="8"/>
        <v>51.199999999999996</v>
      </c>
      <c r="K81" s="132"/>
    </row>
    <row r="82" spans="2:29" ht="27.6">
      <c r="B82" s="113" t="s">
        <v>322</v>
      </c>
      <c r="C82" s="114" t="s">
        <v>271</v>
      </c>
      <c r="D82" s="131">
        <v>2</v>
      </c>
      <c r="E82" s="123">
        <f>((25.5+32+21.9)/3)</f>
        <v>26.466666666666669</v>
      </c>
      <c r="F82" s="123">
        <f t="shared" si="8"/>
        <v>52.933333333333337</v>
      </c>
      <c r="K82" s="132"/>
    </row>
    <row r="83" spans="2:29" ht="41.4">
      <c r="B83" s="113" t="s">
        <v>323</v>
      </c>
      <c r="C83" s="114" t="s">
        <v>271</v>
      </c>
      <c r="D83" s="131">
        <v>1</v>
      </c>
      <c r="E83" s="123">
        <f>((140+129.9+113.37)/3)</f>
        <v>127.75666666666666</v>
      </c>
      <c r="F83" s="123">
        <f t="shared" si="8"/>
        <v>127.75666666666666</v>
      </c>
      <c r="K83" s="132"/>
    </row>
    <row r="84" spans="2:29" ht="27.6">
      <c r="B84" s="113" t="s">
        <v>324</v>
      </c>
      <c r="C84" s="114" t="s">
        <v>325</v>
      </c>
      <c r="D84" s="131">
        <v>2</v>
      </c>
      <c r="E84" s="123">
        <f>((66.21+65+58.44)/3)</f>
        <v>63.216666666666661</v>
      </c>
      <c r="F84" s="123">
        <f t="shared" si="8"/>
        <v>126.43333333333332</v>
      </c>
      <c r="K84" s="132"/>
    </row>
    <row r="85" spans="2:29" ht="13.8">
      <c r="B85" s="111" t="s">
        <v>326</v>
      </c>
      <c r="C85" s="124" t="s">
        <v>325</v>
      </c>
      <c r="D85" s="133">
        <v>1</v>
      </c>
      <c r="E85" s="105">
        <f>((32.7+38.19+36.42)/3)</f>
        <v>35.770000000000003</v>
      </c>
      <c r="F85" s="105">
        <f t="shared" si="8"/>
        <v>35.770000000000003</v>
      </c>
      <c r="K85" s="132"/>
    </row>
    <row r="86" spans="2:29">
      <c r="B86" s="272" t="s">
        <v>327</v>
      </c>
      <c r="C86" s="272"/>
      <c r="D86" s="272"/>
      <c r="E86" s="272"/>
      <c r="F86" s="134">
        <f>SUM(F79:F85)</f>
        <v>587.9799999999999</v>
      </c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</row>
    <row r="87" spans="2:29">
      <c r="B87" s="272" t="s">
        <v>328</v>
      </c>
      <c r="C87" s="272"/>
      <c r="D87" s="272"/>
      <c r="E87" s="272"/>
      <c r="F87" s="134">
        <f>F86/12</f>
        <v>48.998333333333328</v>
      </c>
      <c r="G87" s="120"/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</row>
    <row r="88" spans="2:29">
      <c r="B88" s="99"/>
      <c r="C88" s="119"/>
      <c r="D88" s="119"/>
      <c r="E88" s="119"/>
      <c r="F88" s="120"/>
      <c r="G88" s="120"/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99"/>
    </row>
    <row r="89" spans="2:29">
      <c r="B89" s="99"/>
      <c r="C89" s="119"/>
      <c r="D89" s="119"/>
      <c r="E89" s="119"/>
      <c r="F89" s="120"/>
      <c r="G89" s="120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  <c r="AC89" s="99"/>
    </row>
    <row r="90" spans="2:29" ht="17.399999999999999">
      <c r="B90" s="273" t="s">
        <v>329</v>
      </c>
      <c r="C90" s="273"/>
      <c r="D90" s="273"/>
      <c r="E90" s="273"/>
      <c r="F90" s="273"/>
      <c r="G90" s="273"/>
      <c r="H90" s="273"/>
      <c r="I90" s="273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99"/>
    </row>
    <row r="91" spans="2:29" ht="17.399999999999999" customHeight="1">
      <c r="B91" s="135" t="s">
        <v>330</v>
      </c>
      <c r="C91" s="273" t="s">
        <v>331</v>
      </c>
      <c r="D91" s="273"/>
      <c r="E91" s="273" t="s">
        <v>332</v>
      </c>
      <c r="F91" s="273"/>
      <c r="G91" s="274" t="s">
        <v>333</v>
      </c>
      <c r="H91" s="274"/>
      <c r="I91" s="274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</row>
    <row r="92" spans="2:29" ht="17.399999999999999">
      <c r="B92" s="275"/>
      <c r="C92" s="275"/>
      <c r="D92" s="275"/>
      <c r="E92" s="275"/>
      <c r="F92" s="275"/>
      <c r="G92" s="275"/>
      <c r="H92" s="275"/>
      <c r="I92" s="275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</row>
    <row r="93" spans="2:29" ht="17.399999999999999">
      <c r="B93" s="136" t="s">
        <v>258</v>
      </c>
      <c r="C93" s="276">
        <f>G60</f>
        <v>70218.840000000011</v>
      </c>
      <c r="D93" s="276"/>
      <c r="E93" s="276">
        <f>C93/12</f>
        <v>5851.5700000000006</v>
      </c>
      <c r="F93" s="276"/>
      <c r="G93" s="277">
        <f>E93/I101</f>
        <v>975.26166666666677</v>
      </c>
      <c r="H93" s="277"/>
      <c r="I93" s="277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</row>
    <row r="94" spans="2:29" ht="17.399999999999999">
      <c r="B94" s="275"/>
      <c r="C94" s="275"/>
      <c r="D94" s="275"/>
      <c r="E94" s="275"/>
      <c r="F94" s="275"/>
      <c r="G94" s="275"/>
      <c r="H94" s="275"/>
      <c r="I94" s="275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</row>
    <row r="95" spans="2:29" ht="17.399999999999999">
      <c r="B95" s="136" t="s">
        <v>304</v>
      </c>
      <c r="C95" s="276">
        <f>H75</f>
        <v>1973.9326666666668</v>
      </c>
      <c r="D95" s="276"/>
      <c r="E95" s="276">
        <f>C95/12</f>
        <v>164.49438888888889</v>
      </c>
      <c r="F95" s="276"/>
      <c r="G95" s="277">
        <f>E95/I101</f>
        <v>27.415731481481483</v>
      </c>
      <c r="H95" s="277"/>
      <c r="I95" s="277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</row>
    <row r="96" spans="2:29" ht="17.399999999999999">
      <c r="B96" s="278"/>
      <c r="C96" s="278"/>
      <c r="D96" s="278"/>
      <c r="E96" s="278"/>
      <c r="F96" s="278"/>
      <c r="G96" s="275"/>
      <c r="H96" s="275"/>
      <c r="I96" s="275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</row>
    <row r="97" spans="2:29" ht="17.399999999999999">
      <c r="B97" s="136" t="s">
        <v>318</v>
      </c>
      <c r="C97" s="276">
        <f>F86</f>
        <v>587.9799999999999</v>
      </c>
      <c r="D97" s="276"/>
      <c r="E97" s="276">
        <f>C97/12</f>
        <v>48.998333333333328</v>
      </c>
      <c r="F97" s="276"/>
      <c r="G97" s="277">
        <f>E97</f>
        <v>48.998333333333328</v>
      </c>
      <c r="H97" s="277"/>
      <c r="I97" s="277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</row>
    <row r="98" spans="2:29" ht="17.399999999999999">
      <c r="B98" s="278"/>
      <c r="C98" s="278"/>
      <c r="D98" s="278"/>
      <c r="E98" s="278"/>
      <c r="F98" s="278"/>
      <c r="G98" s="275"/>
      <c r="H98" s="275"/>
      <c r="I98" s="275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</row>
    <row r="99" spans="2:29" ht="17.399999999999999">
      <c r="B99" s="136" t="s">
        <v>334</v>
      </c>
      <c r="C99" s="280">
        <f>C93+C95+C97</f>
        <v>72780.752666666667</v>
      </c>
      <c r="D99" s="280"/>
      <c r="E99" s="280">
        <f>C99/12</f>
        <v>6065.062722222222</v>
      </c>
      <c r="F99" s="280"/>
      <c r="G99" s="281">
        <f>G93+G95+G97</f>
        <v>1051.6757314814815</v>
      </c>
      <c r="H99" s="281"/>
      <c r="I99" s="281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99"/>
      <c r="Z99" s="99"/>
      <c r="AA99" s="99"/>
      <c r="AB99" s="99"/>
      <c r="AC99" s="99"/>
    </row>
    <row r="100" spans="2:29" ht="17.399999999999999">
      <c r="B100" s="137"/>
      <c r="C100" s="138"/>
      <c r="D100" s="138"/>
      <c r="E100" s="138"/>
      <c r="F100" s="138"/>
      <c r="G100" s="139"/>
      <c r="H100" s="140"/>
      <c r="I100" s="140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  <c r="AC100" s="99"/>
    </row>
    <row r="101" spans="2:29" ht="17.399999999999999" customHeight="1">
      <c r="B101" s="274" t="s">
        <v>335</v>
      </c>
      <c r="C101" s="274"/>
      <c r="D101" s="274"/>
      <c r="E101" s="274"/>
      <c r="F101" s="274"/>
      <c r="G101" s="274"/>
      <c r="H101" s="274"/>
      <c r="I101" s="141">
        <v>6</v>
      </c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99"/>
      <c r="Z101" s="99"/>
      <c r="AA101" s="99"/>
      <c r="AB101" s="99"/>
      <c r="AC101" s="99"/>
    </row>
    <row r="102" spans="2:29" ht="33" customHeight="1">
      <c r="B102" s="279" t="s">
        <v>337</v>
      </c>
      <c r="C102" s="279"/>
      <c r="D102" s="279"/>
      <c r="E102" s="279"/>
      <c r="F102" s="279"/>
      <c r="G102" s="279"/>
      <c r="H102" s="279"/>
      <c r="I102" s="27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99"/>
      <c r="Z102" s="99"/>
      <c r="AA102" s="99"/>
      <c r="AB102" s="99"/>
      <c r="AC102" s="99"/>
    </row>
    <row r="103" spans="2:29">
      <c r="B103" s="99"/>
      <c r="C103" s="119"/>
      <c r="D103" s="119"/>
      <c r="E103" s="119"/>
      <c r="F103" s="120"/>
      <c r="G103" s="120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</row>
    <row r="104" spans="2:29">
      <c r="B104" s="99"/>
      <c r="C104" s="119"/>
      <c r="D104" s="119"/>
      <c r="E104" s="119"/>
      <c r="F104" s="120"/>
      <c r="G104" s="120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  <c r="AC104" s="99"/>
    </row>
    <row r="105" spans="2:29">
      <c r="B105" s="99"/>
      <c r="C105" s="119"/>
      <c r="D105" s="119"/>
      <c r="E105" s="119"/>
      <c r="F105" s="120"/>
      <c r="G105" s="120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99"/>
      <c r="Z105" s="99"/>
      <c r="AA105" s="99"/>
      <c r="AB105" s="99"/>
      <c r="AC105" s="99"/>
    </row>
    <row r="106" spans="2:29">
      <c r="B106" s="99"/>
      <c r="C106" s="119"/>
      <c r="D106" s="119"/>
      <c r="E106" s="119"/>
      <c r="F106" s="120"/>
      <c r="G106" s="120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  <c r="AC106" s="99"/>
    </row>
    <row r="107" spans="2:29">
      <c r="B107" s="99"/>
      <c r="C107" s="119"/>
      <c r="D107" s="119"/>
      <c r="E107" s="119"/>
      <c r="F107" s="120"/>
      <c r="G107" s="120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  <c r="Y107" s="99"/>
      <c r="Z107" s="99"/>
      <c r="AA107" s="99"/>
      <c r="AB107" s="99"/>
      <c r="AC107" s="99"/>
    </row>
    <row r="108" spans="2:29">
      <c r="B108" s="99"/>
      <c r="C108" s="119"/>
      <c r="D108" s="119"/>
      <c r="E108" s="119"/>
      <c r="F108" s="120"/>
      <c r="G108" s="120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99"/>
      <c r="Z108" s="99"/>
      <c r="AA108" s="99"/>
      <c r="AB108" s="99"/>
      <c r="AC108" s="99"/>
    </row>
    <row r="109" spans="2:29">
      <c r="B109" s="99"/>
      <c r="C109" s="119"/>
      <c r="D109" s="119"/>
      <c r="E109" s="119"/>
      <c r="F109" s="120"/>
      <c r="G109" s="120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99"/>
    </row>
    <row r="110" spans="2:29">
      <c r="B110" s="99"/>
      <c r="C110" s="119"/>
      <c r="D110" s="119"/>
      <c r="E110" s="119"/>
      <c r="F110" s="120"/>
      <c r="G110" s="120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99"/>
    </row>
    <row r="111" spans="2:29">
      <c r="B111" s="99"/>
      <c r="C111" s="119"/>
      <c r="D111" s="119"/>
      <c r="E111" s="119"/>
      <c r="F111" s="120"/>
      <c r="G111" s="120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</row>
    <row r="112" spans="2:29">
      <c r="B112" s="99"/>
      <c r="C112" s="119"/>
      <c r="D112" s="119"/>
      <c r="E112" s="119"/>
      <c r="F112" s="120"/>
      <c r="G112" s="120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</row>
    <row r="113" spans="2:29">
      <c r="B113" s="99"/>
      <c r="C113" s="119"/>
      <c r="D113" s="119"/>
      <c r="E113" s="119"/>
      <c r="F113" s="120"/>
      <c r="G113" s="120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</row>
    <row r="114" spans="2:29">
      <c r="B114" s="99"/>
      <c r="C114" s="119"/>
      <c r="D114" s="119"/>
      <c r="E114" s="119"/>
      <c r="F114" s="120"/>
      <c r="G114" s="120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</row>
    <row r="115" spans="2:29">
      <c r="B115" s="99"/>
      <c r="C115" s="119"/>
      <c r="D115" s="119"/>
      <c r="E115" s="119"/>
      <c r="F115" s="120"/>
      <c r="G115" s="120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</row>
    <row r="116" spans="2:29">
      <c r="B116" s="99"/>
      <c r="C116" s="119"/>
      <c r="D116" s="119"/>
      <c r="E116" s="119"/>
      <c r="F116" s="120"/>
      <c r="G116" s="120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</row>
    <row r="117" spans="2:29">
      <c r="B117" s="99"/>
      <c r="C117" s="119"/>
      <c r="D117" s="119"/>
      <c r="E117" s="119"/>
      <c r="F117" s="120"/>
      <c r="G117" s="120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</row>
    <row r="118" spans="2:29">
      <c r="B118" s="99"/>
      <c r="C118" s="119"/>
      <c r="D118" s="119"/>
      <c r="E118" s="119"/>
      <c r="F118" s="120"/>
      <c r="G118" s="120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</row>
    <row r="119" spans="2:29">
      <c r="B119" s="99"/>
      <c r="C119" s="119"/>
      <c r="D119" s="119"/>
      <c r="E119" s="119"/>
      <c r="F119" s="120"/>
      <c r="G119" s="120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</row>
    <row r="120" spans="2:29">
      <c r="B120" s="99"/>
      <c r="C120" s="119"/>
      <c r="D120" s="119"/>
      <c r="E120" s="119"/>
      <c r="F120" s="120"/>
      <c r="G120" s="120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</row>
    <row r="121" spans="2:29">
      <c r="B121" s="99"/>
      <c r="C121" s="119"/>
      <c r="D121" s="119"/>
      <c r="E121" s="119"/>
      <c r="F121" s="120"/>
      <c r="G121" s="120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</row>
    <row r="122" spans="2:29">
      <c r="B122" s="99"/>
      <c r="C122" s="119"/>
      <c r="D122" s="119"/>
      <c r="E122" s="119"/>
      <c r="F122" s="120"/>
      <c r="G122" s="120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</row>
    <row r="123" spans="2:29">
      <c r="B123" s="99"/>
      <c r="C123" s="119"/>
      <c r="D123" s="119"/>
      <c r="E123" s="119"/>
      <c r="F123" s="120"/>
      <c r="G123" s="120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</row>
    <row r="124" spans="2:29">
      <c r="B124" s="99"/>
      <c r="C124" s="119"/>
      <c r="D124" s="119"/>
      <c r="E124" s="119"/>
      <c r="F124" s="120"/>
      <c r="G124" s="120"/>
      <c r="H124" s="99"/>
      <c r="I124" s="99"/>
      <c r="J124" s="99"/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99"/>
      <c r="AB124" s="99"/>
      <c r="AC124" s="99"/>
    </row>
    <row r="125" spans="2:29">
      <c r="B125" s="99"/>
      <c r="C125" s="119"/>
      <c r="D125" s="119"/>
      <c r="E125" s="119"/>
      <c r="F125" s="120"/>
      <c r="G125" s="120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  <c r="AC125" s="99"/>
    </row>
    <row r="126" spans="2:29">
      <c r="B126" s="99"/>
      <c r="C126" s="119"/>
      <c r="D126" s="119"/>
      <c r="E126" s="119"/>
      <c r="F126" s="120"/>
      <c r="G126" s="120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</row>
    <row r="127" spans="2:29">
      <c r="B127" s="99"/>
      <c r="C127" s="119"/>
      <c r="D127" s="119"/>
      <c r="E127" s="119"/>
      <c r="F127" s="120"/>
      <c r="G127" s="120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99"/>
      <c r="AC127" s="99"/>
    </row>
    <row r="128" spans="2:29">
      <c r="B128" s="99"/>
      <c r="C128" s="119"/>
      <c r="D128" s="119"/>
      <c r="E128" s="119"/>
      <c r="F128" s="120"/>
      <c r="G128" s="120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99"/>
      <c r="Z128" s="99"/>
      <c r="AA128" s="99"/>
      <c r="AB128" s="99"/>
      <c r="AC128" s="99"/>
    </row>
    <row r="129" spans="2:29">
      <c r="B129" s="99"/>
      <c r="C129" s="119"/>
      <c r="D129" s="119"/>
      <c r="E129" s="119"/>
      <c r="F129" s="120"/>
      <c r="G129" s="120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  <c r="AC129" s="99"/>
    </row>
    <row r="130" spans="2:29">
      <c r="B130" s="99"/>
      <c r="C130" s="119"/>
      <c r="D130" s="119"/>
      <c r="E130" s="119"/>
      <c r="F130" s="120"/>
      <c r="G130" s="120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</row>
    <row r="131" spans="2:29">
      <c r="B131" s="99"/>
      <c r="C131" s="119"/>
      <c r="D131" s="119"/>
      <c r="E131" s="119"/>
      <c r="F131" s="120"/>
      <c r="G131" s="120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99"/>
      <c r="AA131" s="99"/>
      <c r="AB131" s="99"/>
      <c r="AC131" s="99"/>
    </row>
    <row r="132" spans="2:29">
      <c r="B132" s="99"/>
      <c r="C132" s="119"/>
      <c r="D132" s="119"/>
      <c r="E132" s="119"/>
      <c r="F132" s="120"/>
      <c r="G132" s="120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</row>
    <row r="133" spans="2:29">
      <c r="B133" s="99"/>
      <c r="C133" s="119"/>
      <c r="D133" s="119"/>
      <c r="E133" s="119"/>
      <c r="F133" s="120"/>
      <c r="G133" s="120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99"/>
      <c r="Z133" s="99"/>
      <c r="AA133" s="99"/>
      <c r="AB133" s="99"/>
      <c r="AC133" s="99"/>
    </row>
    <row r="134" spans="2:29">
      <c r="B134" s="99"/>
      <c r="C134" s="119"/>
      <c r="D134" s="119"/>
      <c r="E134" s="119"/>
      <c r="F134" s="120"/>
      <c r="G134" s="120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99"/>
      <c r="Y134" s="99"/>
      <c r="Z134" s="99"/>
      <c r="AA134" s="99"/>
      <c r="AB134" s="99"/>
      <c r="AC134" s="99"/>
    </row>
    <row r="135" spans="2:29">
      <c r="B135" s="99"/>
      <c r="C135" s="119"/>
      <c r="D135" s="119"/>
      <c r="E135" s="119"/>
      <c r="F135" s="120"/>
      <c r="G135" s="120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99"/>
    </row>
    <row r="136" spans="2:29">
      <c r="B136" s="99"/>
      <c r="C136" s="119"/>
      <c r="D136" s="119"/>
      <c r="E136" s="119"/>
      <c r="F136" s="120"/>
      <c r="G136" s="120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99"/>
      <c r="Z136" s="99"/>
      <c r="AA136" s="99"/>
      <c r="AB136" s="99"/>
      <c r="AC136" s="99"/>
    </row>
    <row r="137" spans="2:29">
      <c r="B137" s="99"/>
      <c r="C137" s="119"/>
      <c r="D137" s="119"/>
      <c r="E137" s="119"/>
      <c r="F137" s="120"/>
      <c r="G137" s="120"/>
      <c r="H137" s="99"/>
      <c r="I137" s="99"/>
      <c r="J137" s="99"/>
      <c r="K137" s="99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99"/>
      <c r="Z137" s="99"/>
      <c r="AA137" s="99"/>
      <c r="AB137" s="99"/>
      <c r="AC137" s="99"/>
    </row>
    <row r="138" spans="2:29">
      <c r="B138" s="99"/>
      <c r="C138" s="119"/>
      <c r="D138" s="119"/>
      <c r="E138" s="119"/>
      <c r="F138" s="120"/>
      <c r="G138" s="120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  <c r="AA138" s="99"/>
      <c r="AB138" s="99"/>
      <c r="AC138" s="99"/>
    </row>
    <row r="139" spans="2:29">
      <c r="B139" s="99"/>
      <c r="C139" s="119"/>
      <c r="D139" s="119"/>
      <c r="E139" s="119"/>
      <c r="F139" s="120"/>
      <c r="G139" s="120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  <c r="AA139" s="99"/>
      <c r="AB139" s="99"/>
      <c r="AC139" s="99"/>
    </row>
    <row r="140" spans="2:29">
      <c r="B140" s="99"/>
      <c r="C140" s="119"/>
      <c r="D140" s="119"/>
      <c r="E140" s="119"/>
      <c r="F140" s="120"/>
      <c r="G140" s="120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99"/>
      <c r="Z140" s="99"/>
      <c r="AA140" s="99"/>
      <c r="AB140" s="99"/>
      <c r="AC140" s="99"/>
    </row>
    <row r="141" spans="2:29">
      <c r="B141" s="99"/>
      <c r="C141" s="119"/>
      <c r="D141" s="119"/>
      <c r="E141" s="119"/>
      <c r="F141" s="120"/>
      <c r="G141" s="120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  <c r="AA141" s="99"/>
      <c r="AB141" s="99"/>
      <c r="AC141" s="99"/>
    </row>
    <row r="142" spans="2:29">
      <c r="B142" s="99"/>
      <c r="C142" s="119"/>
      <c r="D142" s="119"/>
      <c r="E142" s="119"/>
      <c r="F142" s="120"/>
      <c r="G142" s="120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99"/>
      <c r="Z142" s="99"/>
      <c r="AA142" s="99"/>
      <c r="AB142" s="99"/>
      <c r="AC142" s="99"/>
    </row>
    <row r="143" spans="2:29">
      <c r="B143" s="99"/>
      <c r="C143" s="119"/>
      <c r="D143" s="119"/>
      <c r="E143" s="119"/>
      <c r="F143" s="120"/>
      <c r="G143" s="120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  <c r="AA143" s="99"/>
      <c r="AB143" s="99"/>
      <c r="AC143" s="99"/>
    </row>
    <row r="144" spans="2:29">
      <c r="B144" s="99"/>
      <c r="C144" s="119"/>
      <c r="D144" s="119"/>
      <c r="E144" s="119"/>
      <c r="F144" s="120"/>
      <c r="G144" s="120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99"/>
    </row>
    <row r="145" spans="2:29">
      <c r="B145" s="99"/>
      <c r="C145" s="119"/>
      <c r="D145" s="119"/>
      <c r="E145" s="119"/>
      <c r="F145" s="120"/>
      <c r="G145" s="120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</row>
    <row r="146" spans="2:29">
      <c r="B146" s="99"/>
      <c r="C146" s="119"/>
      <c r="D146" s="119"/>
      <c r="E146" s="119"/>
      <c r="F146" s="120"/>
      <c r="G146" s="120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99"/>
    </row>
    <row r="147" spans="2:29">
      <c r="B147" s="99"/>
      <c r="C147" s="119"/>
      <c r="D147" s="119"/>
      <c r="E147" s="119"/>
      <c r="F147" s="120"/>
      <c r="G147" s="120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99"/>
      <c r="Z147" s="99"/>
      <c r="AA147" s="99"/>
      <c r="AB147" s="99"/>
      <c r="AC147" s="99"/>
    </row>
    <row r="148" spans="2:29">
      <c r="B148" s="99"/>
      <c r="C148" s="119"/>
      <c r="D148" s="119"/>
      <c r="E148" s="119"/>
      <c r="F148" s="120"/>
      <c r="G148" s="120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  <c r="AA148" s="99"/>
      <c r="AB148" s="99"/>
      <c r="AC148" s="99"/>
    </row>
    <row r="149" spans="2:29">
      <c r="B149" s="99"/>
      <c r="C149" s="119"/>
      <c r="D149" s="119"/>
      <c r="E149" s="119"/>
      <c r="F149" s="120"/>
      <c r="G149" s="120"/>
      <c r="H149" s="99"/>
      <c r="I149" s="99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99"/>
      <c r="Z149" s="99"/>
      <c r="AA149" s="99"/>
      <c r="AB149" s="99"/>
      <c r="AC149" s="99"/>
    </row>
    <row r="150" spans="2:29">
      <c r="B150" s="99"/>
      <c r="C150" s="119"/>
      <c r="D150" s="119"/>
      <c r="E150" s="119"/>
      <c r="F150" s="120"/>
      <c r="G150" s="120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99"/>
      <c r="Y150" s="99"/>
      <c r="Z150" s="99"/>
      <c r="AA150" s="99"/>
      <c r="AB150" s="99"/>
      <c r="AC150" s="99"/>
    </row>
    <row r="151" spans="2:29">
      <c r="B151" s="99"/>
      <c r="C151" s="119"/>
      <c r="D151" s="119"/>
      <c r="E151" s="119"/>
      <c r="F151" s="120"/>
      <c r="G151" s="120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99"/>
      <c r="Z151" s="99"/>
      <c r="AA151" s="99"/>
      <c r="AB151" s="99"/>
      <c r="AC151" s="99"/>
    </row>
    <row r="152" spans="2:29">
      <c r="B152" s="99"/>
      <c r="C152" s="119"/>
      <c r="D152" s="119"/>
      <c r="E152" s="119"/>
      <c r="F152" s="120"/>
      <c r="G152" s="120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  <c r="Y152" s="99"/>
      <c r="Z152" s="99"/>
      <c r="AA152" s="99"/>
      <c r="AB152" s="99"/>
      <c r="AC152" s="99"/>
    </row>
    <row r="153" spans="2:29">
      <c r="B153" s="99"/>
      <c r="C153" s="119"/>
      <c r="D153" s="119"/>
      <c r="E153" s="119"/>
      <c r="F153" s="120"/>
      <c r="G153" s="120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99"/>
    </row>
    <row r="154" spans="2:29">
      <c r="B154" s="99"/>
      <c r="C154" s="119"/>
      <c r="D154" s="119"/>
      <c r="E154" s="119"/>
      <c r="F154" s="120"/>
      <c r="G154" s="120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</row>
    <row r="155" spans="2:29">
      <c r="B155" s="99"/>
      <c r="C155" s="119"/>
      <c r="D155" s="119"/>
      <c r="E155" s="119"/>
      <c r="F155" s="120"/>
      <c r="G155" s="120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</row>
    <row r="156" spans="2:29">
      <c r="B156" s="99"/>
      <c r="C156" s="119"/>
      <c r="D156" s="119"/>
      <c r="E156" s="119"/>
      <c r="F156" s="120"/>
      <c r="G156" s="120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</row>
    <row r="157" spans="2:29">
      <c r="B157" s="99"/>
      <c r="C157" s="119"/>
      <c r="D157" s="119"/>
      <c r="E157" s="119"/>
      <c r="F157" s="120"/>
      <c r="G157" s="120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99"/>
    </row>
    <row r="158" spans="2:29">
      <c r="B158" s="99"/>
      <c r="C158" s="119"/>
      <c r="D158" s="119"/>
      <c r="E158" s="119"/>
      <c r="F158" s="120"/>
      <c r="G158" s="120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99"/>
      <c r="AB158" s="99"/>
      <c r="AC158" s="99"/>
    </row>
    <row r="159" spans="2:29">
      <c r="B159" s="99"/>
      <c r="C159" s="119"/>
      <c r="D159" s="119"/>
      <c r="E159" s="119"/>
      <c r="F159" s="120"/>
      <c r="G159" s="120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  <c r="AA159" s="99"/>
      <c r="AB159" s="99"/>
      <c r="AC159" s="99"/>
    </row>
    <row r="160" spans="2:29">
      <c r="B160" s="99"/>
      <c r="C160" s="119"/>
      <c r="D160" s="119"/>
      <c r="E160" s="119"/>
      <c r="F160" s="120"/>
      <c r="G160" s="120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  <c r="AA160" s="99"/>
      <c r="AB160" s="99"/>
      <c r="AC160" s="99"/>
    </row>
    <row r="161" spans="2:29">
      <c r="B161" s="99"/>
      <c r="C161" s="119"/>
      <c r="D161" s="119"/>
      <c r="E161" s="119"/>
      <c r="F161" s="120"/>
      <c r="G161" s="120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  <c r="AA161" s="99"/>
      <c r="AB161" s="99"/>
      <c r="AC161" s="99"/>
    </row>
    <row r="162" spans="2:29">
      <c r="B162" s="99"/>
      <c r="C162" s="119"/>
      <c r="D162" s="119"/>
      <c r="E162" s="119"/>
      <c r="F162" s="120"/>
      <c r="G162" s="120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99"/>
      <c r="Z162" s="99"/>
      <c r="AA162" s="99"/>
      <c r="AB162" s="99"/>
      <c r="AC162" s="99"/>
    </row>
    <row r="163" spans="2:29">
      <c r="B163" s="99"/>
      <c r="C163" s="119"/>
      <c r="D163" s="119"/>
      <c r="E163" s="119"/>
      <c r="F163" s="120"/>
      <c r="G163" s="120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  <c r="AA163" s="99"/>
      <c r="AB163" s="99"/>
      <c r="AC163" s="99"/>
    </row>
    <row r="164" spans="2:29">
      <c r="B164" s="99"/>
      <c r="C164" s="119"/>
      <c r="D164" s="119"/>
      <c r="E164" s="119"/>
      <c r="F164" s="120"/>
      <c r="G164" s="120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</row>
    <row r="165" spans="2:29">
      <c r="B165" s="99"/>
      <c r="C165" s="119"/>
      <c r="D165" s="119"/>
      <c r="E165" s="119"/>
      <c r="F165" s="120"/>
      <c r="G165" s="120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99"/>
      <c r="AA165" s="99"/>
      <c r="AB165" s="99"/>
      <c r="AC165" s="99"/>
    </row>
    <row r="166" spans="2:29">
      <c r="B166" s="99"/>
      <c r="C166" s="119"/>
      <c r="D166" s="119"/>
      <c r="E166" s="119"/>
      <c r="F166" s="120"/>
      <c r="G166" s="120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99"/>
      <c r="Z166" s="99"/>
      <c r="AA166" s="99"/>
      <c r="AB166" s="99"/>
      <c r="AC166" s="99"/>
    </row>
    <row r="167" spans="2:29">
      <c r="B167" s="99"/>
      <c r="C167" s="119"/>
      <c r="D167" s="119"/>
      <c r="E167" s="119"/>
      <c r="F167" s="120"/>
      <c r="G167" s="120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99"/>
      <c r="Y167" s="99"/>
      <c r="Z167" s="99"/>
      <c r="AA167" s="99"/>
      <c r="AB167" s="99"/>
      <c r="AC167" s="99"/>
    </row>
    <row r="168" spans="2:29">
      <c r="B168" s="99"/>
      <c r="C168" s="119"/>
      <c r="D168" s="119"/>
      <c r="E168" s="119"/>
      <c r="F168" s="120"/>
      <c r="G168" s="120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99"/>
      <c r="Z168" s="99"/>
      <c r="AA168" s="99"/>
      <c r="AB168" s="99"/>
      <c r="AC168" s="99"/>
    </row>
    <row r="169" spans="2:29">
      <c r="B169" s="99"/>
      <c r="C169" s="119"/>
      <c r="D169" s="119"/>
      <c r="E169" s="119"/>
      <c r="F169" s="120"/>
      <c r="G169" s="120"/>
      <c r="H169" s="99"/>
      <c r="I169" s="99"/>
      <c r="J169" s="99"/>
      <c r="K169" s="99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99"/>
      <c r="Y169" s="99"/>
      <c r="Z169" s="99"/>
      <c r="AA169" s="99"/>
      <c r="AB169" s="99"/>
      <c r="AC169" s="99"/>
    </row>
    <row r="170" spans="2:29">
      <c r="B170" s="99"/>
      <c r="C170" s="119"/>
      <c r="D170" s="119"/>
      <c r="E170" s="119"/>
      <c r="F170" s="120"/>
      <c r="G170" s="120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  <c r="AA170" s="99"/>
      <c r="AB170" s="99"/>
      <c r="AC170" s="99"/>
    </row>
    <row r="171" spans="2:29">
      <c r="B171" s="99"/>
      <c r="C171" s="119"/>
      <c r="D171" s="119"/>
      <c r="E171" s="119"/>
      <c r="F171" s="120"/>
      <c r="G171" s="120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99"/>
      <c r="Z171" s="99"/>
      <c r="AA171" s="99"/>
      <c r="AB171" s="99"/>
      <c r="AC171" s="99"/>
    </row>
    <row r="172" spans="2:29">
      <c r="B172" s="99"/>
      <c r="C172" s="119"/>
      <c r="D172" s="119"/>
      <c r="E172" s="119"/>
      <c r="F172" s="120"/>
      <c r="G172" s="120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  <c r="AA172" s="99"/>
      <c r="AB172" s="99"/>
      <c r="AC172" s="99"/>
    </row>
    <row r="173" spans="2:29">
      <c r="B173" s="99"/>
      <c r="C173" s="119"/>
      <c r="D173" s="119"/>
      <c r="E173" s="119"/>
      <c r="F173" s="120"/>
      <c r="G173" s="120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99"/>
      <c r="Y173" s="99"/>
      <c r="Z173" s="99"/>
      <c r="AA173" s="99"/>
      <c r="AB173" s="99"/>
      <c r="AC173" s="99"/>
    </row>
    <row r="174" spans="2:29">
      <c r="B174" s="99"/>
      <c r="C174" s="119"/>
      <c r="D174" s="119"/>
      <c r="E174" s="119"/>
      <c r="F174" s="120"/>
      <c r="G174" s="120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99"/>
      <c r="Z174" s="99"/>
      <c r="AA174" s="99"/>
      <c r="AB174" s="99"/>
      <c r="AC174" s="99"/>
    </row>
    <row r="175" spans="2:29">
      <c r="B175" s="99"/>
      <c r="C175" s="119"/>
      <c r="D175" s="119"/>
      <c r="E175" s="119"/>
      <c r="F175" s="120"/>
      <c r="G175" s="120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  <c r="AA175" s="99"/>
      <c r="AB175" s="99"/>
      <c r="AC175" s="99"/>
    </row>
    <row r="176" spans="2:29">
      <c r="B176" s="99"/>
      <c r="C176" s="119"/>
      <c r="D176" s="119"/>
      <c r="E176" s="119"/>
      <c r="F176" s="120"/>
      <c r="G176" s="120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99"/>
    </row>
    <row r="177" spans="2:29">
      <c r="B177" s="99"/>
      <c r="C177" s="119"/>
      <c r="D177" s="119"/>
      <c r="E177" s="119"/>
      <c r="F177" s="120"/>
      <c r="G177" s="120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  <c r="AA177" s="99"/>
      <c r="AB177" s="99"/>
      <c r="AC177" s="99"/>
    </row>
    <row r="178" spans="2:29">
      <c r="B178" s="99"/>
      <c r="C178" s="119"/>
      <c r="D178" s="119"/>
      <c r="E178" s="119"/>
      <c r="F178" s="120"/>
      <c r="G178" s="120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  <c r="AA178" s="99"/>
      <c r="AB178" s="99"/>
      <c r="AC178" s="99"/>
    </row>
    <row r="179" spans="2:29">
      <c r="B179" s="99"/>
      <c r="C179" s="119"/>
      <c r="D179" s="119"/>
      <c r="E179" s="119"/>
      <c r="F179" s="120"/>
      <c r="G179" s="120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99"/>
      <c r="Z179" s="99"/>
      <c r="AA179" s="99"/>
      <c r="AB179" s="99"/>
      <c r="AC179" s="99"/>
    </row>
    <row r="180" spans="2:29">
      <c r="B180" s="99"/>
      <c r="C180" s="119"/>
      <c r="D180" s="119"/>
      <c r="E180" s="119"/>
      <c r="F180" s="120"/>
      <c r="G180" s="120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99"/>
      <c r="Z180" s="99"/>
      <c r="AA180" s="99"/>
      <c r="AB180" s="99"/>
      <c r="AC180" s="99"/>
    </row>
    <row r="181" spans="2:29">
      <c r="B181" s="99"/>
      <c r="C181" s="119"/>
      <c r="D181" s="119"/>
      <c r="E181" s="119"/>
      <c r="F181" s="120"/>
      <c r="G181" s="120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99"/>
      <c r="Z181" s="99"/>
      <c r="AA181" s="99"/>
      <c r="AB181" s="99"/>
      <c r="AC181" s="99"/>
    </row>
    <row r="182" spans="2:29">
      <c r="B182" s="99"/>
      <c r="C182" s="119"/>
      <c r="D182" s="119"/>
      <c r="E182" s="119"/>
      <c r="F182" s="120"/>
      <c r="G182" s="120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99"/>
      <c r="Z182" s="99"/>
      <c r="AA182" s="99"/>
      <c r="AB182" s="99"/>
      <c r="AC182" s="99"/>
    </row>
    <row r="183" spans="2:29">
      <c r="B183" s="99"/>
      <c r="C183" s="119"/>
      <c r="D183" s="119"/>
      <c r="E183" s="119"/>
      <c r="F183" s="120"/>
      <c r="G183" s="120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99"/>
      <c r="Z183" s="99"/>
      <c r="AA183" s="99"/>
      <c r="AB183" s="99"/>
      <c r="AC183" s="99"/>
    </row>
    <row r="184" spans="2:29">
      <c r="B184" s="99"/>
      <c r="C184" s="119"/>
      <c r="D184" s="119"/>
      <c r="E184" s="119"/>
      <c r="F184" s="120"/>
      <c r="G184" s="120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  <c r="AA184" s="99"/>
      <c r="AB184" s="99"/>
      <c r="AC184" s="99"/>
    </row>
    <row r="185" spans="2:29">
      <c r="B185" s="99"/>
      <c r="C185" s="119"/>
      <c r="D185" s="119"/>
      <c r="E185" s="119"/>
      <c r="F185" s="120"/>
      <c r="G185" s="120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99"/>
      <c r="U185" s="99"/>
      <c r="V185" s="99"/>
      <c r="W185" s="99"/>
      <c r="X185" s="99"/>
      <c r="Y185" s="99"/>
      <c r="Z185" s="99"/>
      <c r="AA185" s="99"/>
      <c r="AB185" s="99"/>
      <c r="AC185" s="99"/>
    </row>
    <row r="186" spans="2:29">
      <c r="B186" s="99"/>
      <c r="C186" s="119"/>
      <c r="D186" s="119"/>
      <c r="E186" s="119"/>
      <c r="F186" s="120"/>
      <c r="G186" s="120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/>
      <c r="U186" s="99"/>
      <c r="V186" s="99"/>
      <c r="W186" s="99"/>
      <c r="X186" s="99"/>
      <c r="Y186" s="99"/>
      <c r="Z186" s="99"/>
      <c r="AA186" s="99"/>
      <c r="AB186" s="99"/>
      <c r="AC186" s="99"/>
    </row>
    <row r="187" spans="2:29">
      <c r="B187" s="99"/>
      <c r="C187" s="119"/>
      <c r="D187" s="119"/>
      <c r="E187" s="119"/>
      <c r="F187" s="120"/>
      <c r="G187" s="120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  <c r="AA187" s="99"/>
      <c r="AB187" s="99"/>
      <c r="AC187" s="99"/>
    </row>
    <row r="188" spans="2:29">
      <c r="B188" s="99"/>
      <c r="C188" s="119"/>
      <c r="D188" s="119"/>
      <c r="E188" s="119"/>
      <c r="F188" s="120"/>
      <c r="G188" s="120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99"/>
      <c r="Z188" s="99"/>
      <c r="AA188" s="99"/>
      <c r="AB188" s="99"/>
      <c r="AC188" s="99"/>
    </row>
    <row r="189" spans="2:29">
      <c r="B189" s="99"/>
      <c r="C189" s="119"/>
      <c r="D189" s="119"/>
      <c r="E189" s="119"/>
      <c r="F189" s="120"/>
      <c r="G189" s="120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99"/>
      <c r="Z189" s="99"/>
      <c r="AA189" s="99"/>
      <c r="AB189" s="99"/>
      <c r="AC189" s="99"/>
    </row>
    <row r="190" spans="2:29">
      <c r="B190" s="99"/>
      <c r="C190" s="119"/>
      <c r="D190" s="119"/>
      <c r="E190" s="119"/>
      <c r="F190" s="120"/>
      <c r="G190" s="120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99"/>
      <c r="Z190" s="99"/>
      <c r="AA190" s="99"/>
      <c r="AB190" s="99"/>
      <c r="AC190" s="99"/>
    </row>
    <row r="191" spans="2:29">
      <c r="B191" s="99"/>
      <c r="C191" s="119"/>
      <c r="D191" s="119"/>
      <c r="E191" s="119"/>
      <c r="F191" s="120"/>
      <c r="G191" s="120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</row>
    <row r="192" spans="2:29">
      <c r="B192" s="99"/>
      <c r="C192" s="119"/>
      <c r="D192" s="119"/>
      <c r="E192" s="119"/>
      <c r="F192" s="120"/>
      <c r="G192" s="120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  <c r="W192" s="99"/>
      <c r="X192" s="99"/>
      <c r="Y192" s="99"/>
      <c r="Z192" s="99"/>
      <c r="AA192" s="99"/>
      <c r="AB192" s="99"/>
      <c r="AC192" s="99"/>
    </row>
    <row r="193" spans="2:29">
      <c r="B193" s="99"/>
      <c r="C193" s="119"/>
      <c r="D193" s="119"/>
      <c r="E193" s="119"/>
      <c r="F193" s="120"/>
      <c r="G193" s="120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  <c r="W193" s="99"/>
      <c r="X193" s="99"/>
      <c r="Y193" s="99"/>
      <c r="Z193" s="99"/>
      <c r="AA193" s="99"/>
      <c r="AB193" s="99"/>
      <c r="AC193" s="99"/>
    </row>
    <row r="194" spans="2:29">
      <c r="B194" s="99"/>
      <c r="C194" s="119"/>
      <c r="D194" s="119"/>
      <c r="E194" s="119"/>
      <c r="F194" s="120"/>
      <c r="G194" s="120"/>
      <c r="H194" s="99"/>
      <c r="I194" s="99"/>
      <c r="J194" s="99"/>
      <c r="K194" s="99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  <c r="W194" s="99"/>
      <c r="X194" s="99"/>
      <c r="Y194" s="99"/>
      <c r="Z194" s="99"/>
      <c r="AA194" s="99"/>
      <c r="AB194" s="99"/>
      <c r="AC194" s="99"/>
    </row>
    <row r="195" spans="2:29">
      <c r="B195" s="99"/>
      <c r="C195" s="119"/>
      <c r="D195" s="119"/>
      <c r="E195" s="119"/>
      <c r="F195" s="120"/>
      <c r="G195" s="120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  <c r="W195" s="99"/>
      <c r="X195" s="99"/>
      <c r="Y195" s="99"/>
      <c r="Z195" s="99"/>
      <c r="AA195" s="99"/>
      <c r="AB195" s="99"/>
      <c r="AC195" s="99"/>
    </row>
    <row r="196" spans="2:29">
      <c r="B196" s="99"/>
      <c r="C196" s="119"/>
      <c r="D196" s="119"/>
      <c r="E196" s="119"/>
      <c r="F196" s="120"/>
      <c r="G196" s="120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  <c r="W196" s="99"/>
      <c r="X196" s="99"/>
      <c r="Y196" s="99"/>
      <c r="Z196" s="99"/>
      <c r="AA196" s="99"/>
      <c r="AB196" s="99"/>
      <c r="AC196" s="99"/>
    </row>
    <row r="197" spans="2:29">
      <c r="B197" s="99"/>
      <c r="C197" s="119"/>
      <c r="D197" s="119"/>
      <c r="E197" s="119"/>
      <c r="F197" s="120"/>
      <c r="G197" s="120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  <c r="W197" s="99"/>
      <c r="X197" s="99"/>
      <c r="Y197" s="99"/>
      <c r="Z197" s="99"/>
      <c r="AA197" s="99"/>
      <c r="AB197" s="99"/>
      <c r="AC197" s="99"/>
    </row>
    <row r="198" spans="2:29">
      <c r="B198" s="99"/>
      <c r="C198" s="119"/>
      <c r="D198" s="119"/>
      <c r="E198" s="119"/>
      <c r="F198" s="120"/>
      <c r="G198" s="120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99"/>
      <c r="Y198" s="99"/>
      <c r="Z198" s="99"/>
      <c r="AA198" s="99"/>
      <c r="AB198" s="99"/>
      <c r="AC198" s="99"/>
    </row>
    <row r="199" spans="2:29">
      <c r="B199" s="99"/>
      <c r="C199" s="119"/>
      <c r="D199" s="119"/>
      <c r="E199" s="119"/>
      <c r="F199" s="120"/>
      <c r="G199" s="120"/>
      <c r="H199" s="99"/>
      <c r="I199" s="99"/>
      <c r="J199" s="99"/>
      <c r="K199" s="99"/>
      <c r="L199" s="99"/>
      <c r="M199" s="99"/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99"/>
      <c r="Y199" s="99"/>
      <c r="Z199" s="99"/>
      <c r="AA199" s="99"/>
      <c r="AB199" s="99"/>
      <c r="AC199" s="99"/>
    </row>
    <row r="200" spans="2:29">
      <c r="B200" s="99"/>
      <c r="C200" s="119"/>
      <c r="D200" s="119"/>
      <c r="E200" s="119"/>
      <c r="F200" s="120"/>
      <c r="G200" s="120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99"/>
      <c r="S200" s="99"/>
      <c r="T200" s="99"/>
      <c r="U200" s="99"/>
      <c r="V200" s="99"/>
      <c r="W200" s="99"/>
      <c r="X200" s="99"/>
      <c r="Y200" s="99"/>
      <c r="Z200" s="99"/>
      <c r="AA200" s="99"/>
      <c r="AB200" s="99"/>
      <c r="AC200" s="99"/>
    </row>
    <row r="201" spans="2:29">
      <c r="B201" s="99"/>
      <c r="C201" s="119"/>
      <c r="D201" s="119"/>
      <c r="E201" s="119"/>
      <c r="F201" s="120"/>
      <c r="G201" s="120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99"/>
      <c r="S201" s="99"/>
      <c r="T201" s="99"/>
      <c r="U201" s="99"/>
      <c r="V201" s="99"/>
      <c r="W201" s="99"/>
      <c r="X201" s="99"/>
      <c r="Y201" s="99"/>
      <c r="Z201" s="99"/>
      <c r="AA201" s="99"/>
      <c r="AB201" s="99"/>
      <c r="AC201" s="99"/>
    </row>
    <row r="202" spans="2:29">
      <c r="B202" s="99"/>
      <c r="C202" s="119"/>
      <c r="D202" s="119"/>
      <c r="E202" s="119"/>
      <c r="F202" s="120"/>
      <c r="G202" s="120"/>
      <c r="H202" s="99"/>
      <c r="I202" s="99"/>
      <c r="J202" s="99"/>
      <c r="K202" s="99"/>
      <c r="L202" s="99"/>
      <c r="M202" s="99"/>
      <c r="N202" s="99"/>
      <c r="O202" s="99"/>
      <c r="P202" s="99"/>
      <c r="Q202" s="99"/>
      <c r="R202" s="99"/>
      <c r="S202" s="99"/>
      <c r="T202" s="99"/>
      <c r="U202" s="99"/>
      <c r="V202" s="99"/>
      <c r="W202" s="99"/>
      <c r="X202" s="99"/>
      <c r="Y202" s="99"/>
      <c r="Z202" s="99"/>
      <c r="AA202" s="99"/>
      <c r="AB202" s="99"/>
      <c r="AC202" s="99"/>
    </row>
    <row r="203" spans="2:29">
      <c r="B203" s="99"/>
      <c r="C203" s="119"/>
      <c r="D203" s="119"/>
      <c r="E203" s="119"/>
      <c r="F203" s="120"/>
      <c r="G203" s="120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99"/>
      <c r="S203" s="99"/>
      <c r="T203" s="99"/>
      <c r="U203" s="99"/>
      <c r="V203" s="99"/>
      <c r="W203" s="99"/>
      <c r="X203" s="99"/>
      <c r="Y203" s="99"/>
      <c r="Z203" s="99"/>
      <c r="AA203" s="99"/>
      <c r="AB203" s="99"/>
      <c r="AC203" s="99"/>
    </row>
    <row r="204" spans="2:29">
      <c r="B204" s="99"/>
      <c r="C204" s="119"/>
      <c r="D204" s="119"/>
      <c r="E204" s="119"/>
      <c r="F204" s="120"/>
      <c r="G204" s="120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99"/>
      <c r="Y204" s="99"/>
      <c r="Z204" s="99"/>
      <c r="AA204" s="99"/>
      <c r="AB204" s="99"/>
      <c r="AC204" s="99"/>
    </row>
    <row r="205" spans="2:29">
      <c r="B205" s="99"/>
      <c r="C205" s="119"/>
      <c r="D205" s="119"/>
      <c r="E205" s="119"/>
      <c r="F205" s="120"/>
      <c r="G205" s="120"/>
      <c r="H205" s="99"/>
      <c r="I205" s="99"/>
      <c r="J205" s="99"/>
      <c r="K205" s="99"/>
      <c r="L205" s="99"/>
      <c r="M205" s="99"/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99"/>
      <c r="Y205" s="99"/>
      <c r="Z205" s="99"/>
      <c r="AA205" s="99"/>
      <c r="AB205" s="99"/>
      <c r="AC205" s="99"/>
    </row>
    <row r="206" spans="2:29">
      <c r="B206" s="99"/>
      <c r="C206" s="119"/>
      <c r="D206" s="119"/>
      <c r="E206" s="119"/>
      <c r="F206" s="120"/>
      <c r="G206" s="120"/>
      <c r="H206" s="99"/>
      <c r="I206" s="99"/>
      <c r="J206" s="99"/>
      <c r="K206" s="99"/>
      <c r="L206" s="99"/>
      <c r="M206" s="99"/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99"/>
      <c r="Y206" s="99"/>
      <c r="Z206" s="99"/>
      <c r="AA206" s="99"/>
      <c r="AB206" s="99"/>
      <c r="AC206" s="99"/>
    </row>
    <row r="207" spans="2:29">
      <c r="B207" s="99"/>
      <c r="C207" s="119"/>
      <c r="D207" s="119"/>
      <c r="E207" s="119"/>
      <c r="F207" s="120"/>
      <c r="G207" s="120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99"/>
      <c r="S207" s="99"/>
      <c r="T207" s="99"/>
      <c r="U207" s="99"/>
      <c r="V207" s="99"/>
      <c r="W207" s="99"/>
      <c r="X207" s="99"/>
      <c r="Y207" s="99"/>
      <c r="Z207" s="99"/>
      <c r="AA207" s="99"/>
      <c r="AB207" s="99"/>
      <c r="AC207" s="99"/>
    </row>
    <row r="208" spans="2:29">
      <c r="B208" s="99"/>
      <c r="C208" s="119"/>
      <c r="D208" s="119"/>
      <c r="E208" s="119"/>
      <c r="F208" s="120"/>
      <c r="G208" s="120"/>
      <c r="H208" s="99"/>
      <c r="I208" s="99"/>
      <c r="J208" s="99"/>
      <c r="K208" s="99"/>
      <c r="L208" s="99"/>
      <c r="M208" s="99"/>
      <c r="N208" s="99"/>
      <c r="O208" s="99"/>
      <c r="P208" s="99"/>
      <c r="Q208" s="99"/>
      <c r="R208" s="99"/>
      <c r="S208" s="99"/>
      <c r="T208" s="99"/>
      <c r="U208" s="99"/>
      <c r="V208" s="99"/>
      <c r="W208" s="99"/>
      <c r="X208" s="99"/>
      <c r="Y208" s="99"/>
      <c r="Z208" s="99"/>
      <c r="AA208" s="99"/>
      <c r="AB208" s="99"/>
      <c r="AC208" s="99"/>
    </row>
    <row r="209" spans="2:29">
      <c r="B209" s="99"/>
      <c r="C209" s="119"/>
      <c r="D209" s="119"/>
      <c r="E209" s="119"/>
      <c r="F209" s="120"/>
      <c r="G209" s="120"/>
      <c r="H209" s="99"/>
      <c r="I209" s="99"/>
      <c r="J209" s="99"/>
      <c r="K209" s="99"/>
      <c r="L209" s="99"/>
      <c r="M209" s="99"/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99"/>
      <c r="Y209" s="99"/>
      <c r="Z209" s="99"/>
      <c r="AA209" s="99"/>
      <c r="AB209" s="99"/>
      <c r="AC209" s="99"/>
    </row>
    <row r="210" spans="2:29">
      <c r="B210" s="99"/>
      <c r="C210" s="119"/>
      <c r="D210" s="119"/>
      <c r="E210" s="119"/>
      <c r="F210" s="120"/>
      <c r="G210" s="120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99"/>
      <c r="Y210" s="99"/>
      <c r="Z210" s="99"/>
      <c r="AA210" s="99"/>
      <c r="AB210" s="99"/>
      <c r="AC210" s="99"/>
    </row>
    <row r="211" spans="2:29">
      <c r="B211" s="99"/>
      <c r="C211" s="119"/>
      <c r="D211" s="119"/>
      <c r="E211" s="119"/>
      <c r="F211" s="120"/>
      <c r="G211" s="120"/>
      <c r="H211" s="99"/>
      <c r="I211" s="99"/>
      <c r="J211" s="99"/>
      <c r="K211" s="99"/>
      <c r="L211" s="99"/>
      <c r="M211" s="99"/>
      <c r="N211" s="99"/>
      <c r="O211" s="99"/>
      <c r="P211" s="99"/>
      <c r="Q211" s="99"/>
      <c r="R211" s="99"/>
      <c r="S211" s="99"/>
      <c r="T211" s="99"/>
      <c r="U211" s="99"/>
      <c r="V211" s="99"/>
      <c r="W211" s="99"/>
      <c r="X211" s="99"/>
      <c r="Y211" s="99"/>
      <c r="Z211" s="99"/>
      <c r="AA211" s="99"/>
      <c r="AB211" s="99"/>
      <c r="AC211" s="99"/>
    </row>
    <row r="212" spans="2:29">
      <c r="B212" s="99"/>
      <c r="C212" s="119"/>
      <c r="D212" s="119"/>
      <c r="E212" s="119"/>
      <c r="F212" s="120"/>
      <c r="G212" s="120"/>
      <c r="H212" s="99"/>
      <c r="I212" s="99"/>
      <c r="J212" s="99"/>
      <c r="K212" s="99"/>
      <c r="L212" s="99"/>
      <c r="M212" s="99"/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99"/>
      <c r="Y212" s="99"/>
      <c r="Z212" s="99"/>
      <c r="AA212" s="99"/>
      <c r="AB212" s="99"/>
      <c r="AC212" s="99"/>
    </row>
    <row r="213" spans="2:29">
      <c r="B213" s="99"/>
      <c r="C213" s="119"/>
      <c r="D213" s="119"/>
      <c r="E213" s="119"/>
      <c r="F213" s="120"/>
      <c r="G213" s="120"/>
      <c r="H213" s="99"/>
      <c r="I213" s="99"/>
      <c r="J213" s="99"/>
      <c r="K213" s="99"/>
      <c r="L213" s="99"/>
      <c r="M213" s="99"/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99"/>
      <c r="Y213" s="99"/>
      <c r="Z213" s="99"/>
      <c r="AA213" s="99"/>
      <c r="AB213" s="99"/>
      <c r="AC213" s="99"/>
    </row>
    <row r="214" spans="2:29">
      <c r="B214" s="99"/>
      <c r="C214" s="119"/>
      <c r="D214" s="119"/>
      <c r="E214" s="119"/>
      <c r="F214" s="120"/>
      <c r="G214" s="120"/>
      <c r="H214" s="99"/>
      <c r="I214" s="99"/>
      <c r="J214" s="99"/>
      <c r="K214" s="99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99"/>
      <c r="Z214" s="99"/>
      <c r="AA214" s="99"/>
      <c r="AB214" s="99"/>
      <c r="AC214" s="99"/>
    </row>
    <row r="215" spans="2:29">
      <c r="B215" s="99"/>
      <c r="C215" s="119"/>
      <c r="D215" s="119"/>
      <c r="E215" s="119"/>
      <c r="F215" s="120"/>
      <c r="G215" s="120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99"/>
      <c r="Y215" s="99"/>
      <c r="Z215" s="99"/>
      <c r="AA215" s="99"/>
      <c r="AB215" s="99"/>
      <c r="AC215" s="99"/>
    </row>
    <row r="216" spans="2:29">
      <c r="B216" s="99"/>
      <c r="C216" s="119"/>
      <c r="D216" s="119"/>
      <c r="E216" s="119"/>
      <c r="F216" s="120"/>
      <c r="G216" s="120"/>
      <c r="H216" s="99"/>
      <c r="I216" s="99"/>
      <c r="J216" s="99"/>
      <c r="K216" s="99"/>
      <c r="L216" s="99"/>
      <c r="M216" s="99"/>
      <c r="N216" s="99"/>
      <c r="O216" s="99"/>
      <c r="P216" s="99"/>
      <c r="Q216" s="99"/>
      <c r="R216" s="99"/>
      <c r="S216" s="99"/>
      <c r="T216" s="99"/>
      <c r="U216" s="99"/>
      <c r="V216" s="99"/>
      <c r="W216" s="99"/>
      <c r="X216" s="99"/>
      <c r="Y216" s="99"/>
      <c r="Z216" s="99"/>
      <c r="AA216" s="99"/>
      <c r="AB216" s="99"/>
      <c r="AC216" s="99"/>
    </row>
    <row r="217" spans="2:29">
      <c r="B217" s="99"/>
      <c r="C217" s="119"/>
      <c r="D217" s="119"/>
      <c r="E217" s="119"/>
      <c r="F217" s="120"/>
      <c r="G217" s="120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99"/>
      <c r="S217" s="99"/>
      <c r="T217" s="99"/>
      <c r="U217" s="99"/>
      <c r="V217" s="99"/>
      <c r="W217" s="99"/>
      <c r="X217" s="99"/>
      <c r="Y217" s="99"/>
      <c r="Z217" s="99"/>
      <c r="AA217" s="99"/>
      <c r="AB217" s="99"/>
      <c r="AC217" s="99"/>
    </row>
    <row r="218" spans="2:29">
      <c r="B218" s="99"/>
      <c r="C218" s="119"/>
      <c r="D218" s="119"/>
      <c r="E218" s="119"/>
      <c r="F218" s="120"/>
      <c r="G218" s="120"/>
      <c r="H218" s="99"/>
      <c r="I218" s="99"/>
      <c r="J218" s="99"/>
      <c r="K218" s="99"/>
      <c r="L218" s="99"/>
      <c r="M218" s="99"/>
      <c r="N218" s="99"/>
      <c r="O218" s="99"/>
      <c r="P218" s="99"/>
      <c r="Q218" s="99"/>
      <c r="R218" s="99"/>
      <c r="S218" s="99"/>
      <c r="T218" s="99"/>
      <c r="U218" s="99"/>
      <c r="V218" s="99"/>
      <c r="W218" s="99"/>
      <c r="X218" s="99"/>
      <c r="Y218" s="99"/>
      <c r="Z218" s="99"/>
      <c r="AA218" s="99"/>
      <c r="AB218" s="99"/>
      <c r="AC218" s="99"/>
    </row>
    <row r="219" spans="2:29">
      <c r="B219" s="99"/>
      <c r="C219" s="119"/>
      <c r="D219" s="119"/>
      <c r="E219" s="119"/>
      <c r="F219" s="120"/>
      <c r="G219" s="120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99"/>
      <c r="Y219" s="99"/>
      <c r="Z219" s="99"/>
      <c r="AA219" s="99"/>
      <c r="AB219" s="99"/>
      <c r="AC219" s="99"/>
    </row>
    <row r="220" spans="2:29">
      <c r="B220" s="99"/>
      <c r="C220" s="119"/>
      <c r="D220" s="119"/>
      <c r="E220" s="119"/>
      <c r="F220" s="120"/>
      <c r="G220" s="120"/>
      <c r="H220" s="99"/>
      <c r="I220" s="99"/>
      <c r="J220" s="99"/>
      <c r="K220" s="99"/>
      <c r="L220" s="99"/>
      <c r="M220" s="99"/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99"/>
      <c r="Y220" s="99"/>
      <c r="Z220" s="99"/>
      <c r="AA220" s="99"/>
      <c r="AB220" s="99"/>
      <c r="AC220" s="99"/>
    </row>
    <row r="221" spans="2:29">
      <c r="B221" s="99"/>
      <c r="C221" s="119"/>
      <c r="D221" s="119"/>
      <c r="E221" s="119"/>
      <c r="F221" s="120"/>
      <c r="G221" s="120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99"/>
      <c r="Y221" s="99"/>
      <c r="Z221" s="99"/>
      <c r="AA221" s="99"/>
      <c r="AB221" s="99"/>
      <c r="AC221" s="99"/>
    </row>
    <row r="222" spans="2:29">
      <c r="B222" s="99"/>
      <c r="C222" s="119"/>
      <c r="D222" s="119"/>
      <c r="E222" s="119"/>
      <c r="F222" s="120"/>
      <c r="G222" s="120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99"/>
      <c r="Y222" s="99"/>
      <c r="Z222" s="99"/>
      <c r="AA222" s="99"/>
      <c r="AB222" s="99"/>
      <c r="AC222" s="99"/>
    </row>
    <row r="223" spans="2:29">
      <c r="B223" s="99"/>
      <c r="C223" s="119"/>
      <c r="D223" s="119"/>
      <c r="E223" s="119"/>
      <c r="F223" s="120"/>
      <c r="G223" s="120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99"/>
      <c r="Z223" s="99"/>
      <c r="AA223" s="99"/>
      <c r="AB223" s="99"/>
      <c r="AC223" s="99"/>
    </row>
    <row r="224" spans="2:29">
      <c r="B224" s="99"/>
      <c r="C224" s="119"/>
      <c r="D224" s="119"/>
      <c r="E224" s="119"/>
      <c r="F224" s="120"/>
      <c r="G224" s="120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99"/>
      <c r="Y224" s="99"/>
      <c r="Z224" s="99"/>
      <c r="AA224" s="99"/>
      <c r="AB224" s="99"/>
      <c r="AC224" s="99"/>
    </row>
    <row r="225" spans="2:29">
      <c r="B225" s="99"/>
      <c r="C225" s="119"/>
      <c r="D225" s="119"/>
      <c r="E225" s="119"/>
      <c r="F225" s="120"/>
      <c r="G225" s="120"/>
      <c r="H225" s="99"/>
      <c r="I225" s="99"/>
      <c r="J225" s="99"/>
      <c r="K225" s="99"/>
      <c r="L225" s="99"/>
      <c r="M225" s="99"/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99"/>
      <c r="Y225" s="99"/>
      <c r="Z225" s="99"/>
      <c r="AA225" s="99"/>
      <c r="AB225" s="99"/>
      <c r="AC225" s="99"/>
    </row>
    <row r="226" spans="2:29">
      <c r="B226" s="99"/>
      <c r="C226" s="119"/>
      <c r="D226" s="119"/>
      <c r="E226" s="119"/>
      <c r="F226" s="120"/>
      <c r="G226" s="120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99"/>
      <c r="AA226" s="99"/>
      <c r="AB226" s="99"/>
      <c r="AC226" s="99"/>
    </row>
    <row r="227" spans="2:29">
      <c r="B227" s="99"/>
      <c r="C227" s="119"/>
      <c r="D227" s="119"/>
      <c r="E227" s="119"/>
      <c r="F227" s="120"/>
      <c r="G227" s="120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99"/>
      <c r="S227" s="99"/>
      <c r="T227" s="99"/>
      <c r="U227" s="99"/>
      <c r="V227" s="99"/>
      <c r="W227" s="99"/>
      <c r="X227" s="99"/>
      <c r="Y227" s="99"/>
      <c r="Z227" s="99"/>
      <c r="AA227" s="99"/>
      <c r="AB227" s="99"/>
      <c r="AC227" s="99"/>
    </row>
    <row r="228" spans="2:29">
      <c r="B228" s="99"/>
      <c r="C228" s="119"/>
      <c r="D228" s="119"/>
      <c r="E228" s="119"/>
      <c r="F228" s="120"/>
      <c r="G228" s="120"/>
      <c r="H228" s="99"/>
      <c r="I228" s="99"/>
      <c r="J228" s="99"/>
      <c r="K228" s="99"/>
      <c r="L228" s="99"/>
      <c r="M228" s="99"/>
      <c r="N228" s="99"/>
      <c r="O228" s="99"/>
      <c r="P228" s="99"/>
      <c r="Q228" s="99"/>
      <c r="R228" s="99"/>
      <c r="S228" s="99"/>
      <c r="T228" s="99"/>
      <c r="U228" s="99"/>
      <c r="V228" s="99"/>
      <c r="W228" s="99"/>
      <c r="X228" s="99"/>
      <c r="Y228" s="99"/>
      <c r="Z228" s="99"/>
      <c r="AA228" s="99"/>
      <c r="AB228" s="99"/>
      <c r="AC228" s="99"/>
    </row>
    <row r="229" spans="2:29">
      <c r="B229" s="99"/>
      <c r="C229" s="119"/>
      <c r="D229" s="119"/>
      <c r="E229" s="119"/>
      <c r="F229" s="120"/>
      <c r="G229" s="120"/>
      <c r="H229" s="99"/>
      <c r="I229" s="99"/>
      <c r="J229" s="99"/>
      <c r="K229" s="99"/>
      <c r="L229" s="99"/>
      <c r="M229" s="99"/>
      <c r="N229" s="99"/>
      <c r="O229" s="99"/>
      <c r="P229" s="99"/>
      <c r="Q229" s="99"/>
      <c r="R229" s="99"/>
      <c r="S229" s="99"/>
      <c r="T229" s="99"/>
      <c r="U229" s="99"/>
      <c r="V229" s="99"/>
      <c r="W229" s="99"/>
      <c r="X229" s="99"/>
      <c r="Y229" s="99"/>
      <c r="Z229" s="99"/>
      <c r="AA229" s="99"/>
      <c r="AB229" s="99"/>
      <c r="AC229" s="99"/>
    </row>
    <row r="230" spans="2:29">
      <c r="B230" s="99"/>
      <c r="C230" s="119"/>
      <c r="D230" s="119"/>
      <c r="E230" s="119"/>
      <c r="F230" s="120"/>
      <c r="G230" s="120"/>
      <c r="H230" s="99"/>
      <c r="I230" s="99"/>
      <c r="J230" s="99"/>
      <c r="K230" s="99"/>
      <c r="L230" s="99"/>
      <c r="M230" s="99"/>
      <c r="N230" s="99"/>
      <c r="O230" s="99"/>
      <c r="P230" s="99"/>
      <c r="Q230" s="99"/>
      <c r="R230" s="99"/>
      <c r="S230" s="99"/>
      <c r="T230" s="99"/>
      <c r="U230" s="99"/>
      <c r="V230" s="99"/>
      <c r="W230" s="99"/>
      <c r="X230" s="99"/>
      <c r="Y230" s="99"/>
      <c r="Z230" s="99"/>
      <c r="AA230" s="99"/>
      <c r="AB230" s="99"/>
      <c r="AC230" s="99"/>
    </row>
    <row r="231" spans="2:29">
      <c r="B231" s="99"/>
      <c r="C231" s="119"/>
      <c r="D231" s="119"/>
      <c r="E231" s="119"/>
      <c r="F231" s="120"/>
      <c r="G231" s="120"/>
      <c r="H231" s="99"/>
      <c r="I231" s="99"/>
      <c r="J231" s="99"/>
      <c r="K231" s="99"/>
      <c r="L231" s="99"/>
      <c r="M231" s="99"/>
      <c r="N231" s="99"/>
      <c r="O231" s="99"/>
      <c r="P231" s="99"/>
      <c r="Q231" s="99"/>
      <c r="R231" s="99"/>
      <c r="S231" s="99"/>
      <c r="T231" s="99"/>
      <c r="U231" s="99"/>
      <c r="V231" s="99"/>
      <c r="W231" s="99"/>
      <c r="X231" s="99"/>
      <c r="Y231" s="99"/>
      <c r="Z231" s="99"/>
      <c r="AA231" s="99"/>
      <c r="AB231" s="99"/>
      <c r="AC231" s="99"/>
    </row>
    <row r="232" spans="2:29">
      <c r="B232" s="99"/>
      <c r="C232" s="119"/>
      <c r="D232" s="119"/>
      <c r="E232" s="119"/>
      <c r="F232" s="120"/>
      <c r="G232" s="120"/>
      <c r="H232" s="99"/>
      <c r="I232" s="99"/>
      <c r="J232" s="99"/>
      <c r="K232" s="99"/>
      <c r="L232" s="99"/>
      <c r="M232" s="99"/>
      <c r="N232" s="99"/>
      <c r="O232" s="99"/>
      <c r="P232" s="99"/>
      <c r="Q232" s="99"/>
      <c r="R232" s="99"/>
      <c r="S232" s="99"/>
      <c r="T232" s="99"/>
      <c r="U232" s="99"/>
      <c r="V232" s="99"/>
      <c r="W232" s="99"/>
      <c r="X232" s="99"/>
      <c r="Y232" s="99"/>
      <c r="Z232" s="99"/>
      <c r="AA232" s="99"/>
      <c r="AB232" s="99"/>
      <c r="AC232" s="99"/>
    </row>
    <row r="233" spans="2:29">
      <c r="B233" s="99"/>
      <c r="C233" s="119"/>
      <c r="D233" s="119"/>
      <c r="E233" s="119"/>
      <c r="F233" s="120"/>
      <c r="G233" s="120"/>
      <c r="H233" s="99"/>
      <c r="I233" s="99"/>
      <c r="J233" s="99"/>
      <c r="K233" s="99"/>
      <c r="L233" s="99"/>
      <c r="M233" s="99"/>
      <c r="N233" s="99"/>
      <c r="O233" s="99"/>
      <c r="P233" s="99"/>
      <c r="Q233" s="99"/>
      <c r="R233" s="99"/>
      <c r="S233" s="99"/>
      <c r="T233" s="99"/>
      <c r="U233" s="99"/>
      <c r="V233" s="99"/>
      <c r="W233" s="99"/>
      <c r="X233" s="99"/>
      <c r="Y233" s="99"/>
      <c r="Z233" s="99"/>
      <c r="AA233" s="99"/>
      <c r="AB233" s="99"/>
      <c r="AC233" s="99"/>
    </row>
    <row r="234" spans="2:29">
      <c r="B234" s="99"/>
      <c r="C234" s="119"/>
      <c r="D234" s="119"/>
      <c r="E234" s="119"/>
      <c r="F234" s="120"/>
      <c r="G234" s="120"/>
      <c r="H234" s="99"/>
      <c r="I234" s="99"/>
      <c r="J234" s="99"/>
      <c r="K234" s="99"/>
      <c r="L234" s="99"/>
      <c r="M234" s="99"/>
      <c r="N234" s="99"/>
      <c r="O234" s="99"/>
      <c r="P234" s="99"/>
      <c r="Q234" s="99"/>
      <c r="R234" s="99"/>
      <c r="S234" s="99"/>
      <c r="T234" s="99"/>
      <c r="U234" s="99"/>
      <c r="V234" s="99"/>
      <c r="W234" s="99"/>
      <c r="X234" s="99"/>
      <c r="Y234" s="99"/>
      <c r="Z234" s="99"/>
      <c r="AA234" s="99"/>
      <c r="AB234" s="99"/>
      <c r="AC234" s="99"/>
    </row>
    <row r="235" spans="2:29">
      <c r="B235" s="99"/>
      <c r="C235" s="119"/>
      <c r="D235" s="119"/>
      <c r="E235" s="119"/>
      <c r="F235" s="120"/>
      <c r="G235" s="120"/>
      <c r="H235" s="99"/>
      <c r="I235" s="99"/>
      <c r="J235" s="99"/>
      <c r="K235" s="99"/>
      <c r="L235" s="99"/>
      <c r="M235" s="99"/>
      <c r="N235" s="99"/>
      <c r="O235" s="99"/>
      <c r="P235" s="99"/>
      <c r="Q235" s="99"/>
      <c r="R235" s="99"/>
      <c r="S235" s="99"/>
      <c r="T235" s="99"/>
      <c r="U235" s="99"/>
      <c r="V235" s="99"/>
      <c r="W235" s="99"/>
      <c r="X235" s="99"/>
      <c r="Y235" s="99"/>
      <c r="Z235" s="99"/>
      <c r="AA235" s="99"/>
      <c r="AB235" s="99"/>
      <c r="AC235" s="99"/>
    </row>
    <row r="236" spans="2:29">
      <c r="B236" s="99"/>
      <c r="C236" s="119"/>
      <c r="D236" s="119"/>
      <c r="E236" s="119"/>
      <c r="F236" s="120"/>
      <c r="G236" s="120"/>
      <c r="H236" s="99"/>
      <c r="I236" s="99"/>
      <c r="J236" s="99"/>
      <c r="K236" s="99"/>
      <c r="L236" s="99"/>
      <c r="M236" s="99"/>
      <c r="N236" s="99"/>
      <c r="O236" s="99"/>
      <c r="P236" s="99"/>
      <c r="Q236" s="99"/>
      <c r="R236" s="99"/>
      <c r="S236" s="99"/>
      <c r="T236" s="99"/>
      <c r="U236" s="99"/>
      <c r="V236" s="99"/>
      <c r="W236" s="99"/>
      <c r="X236" s="99"/>
      <c r="Y236" s="99"/>
      <c r="Z236" s="99"/>
      <c r="AA236" s="99"/>
      <c r="AB236" s="99"/>
      <c r="AC236" s="99"/>
    </row>
    <row r="237" spans="2:29">
      <c r="B237" s="99"/>
      <c r="C237" s="119"/>
      <c r="D237" s="119"/>
      <c r="E237" s="119"/>
      <c r="F237" s="120"/>
      <c r="G237" s="120"/>
      <c r="H237" s="99"/>
      <c r="I237" s="99"/>
      <c r="J237" s="99"/>
      <c r="K237" s="99"/>
      <c r="L237" s="99"/>
      <c r="M237" s="99"/>
      <c r="N237" s="99"/>
      <c r="O237" s="99"/>
      <c r="P237" s="99"/>
      <c r="Q237" s="99"/>
      <c r="R237" s="99"/>
      <c r="S237" s="99"/>
      <c r="T237" s="99"/>
      <c r="U237" s="99"/>
      <c r="V237" s="99"/>
      <c r="W237" s="99"/>
      <c r="X237" s="99"/>
      <c r="Y237" s="99"/>
      <c r="Z237" s="99"/>
      <c r="AA237" s="99"/>
      <c r="AB237" s="99"/>
      <c r="AC237" s="99"/>
    </row>
    <row r="238" spans="2:29">
      <c r="B238" s="99"/>
      <c r="C238" s="119"/>
      <c r="D238" s="119"/>
      <c r="E238" s="119"/>
      <c r="F238" s="120"/>
      <c r="G238" s="120"/>
      <c r="H238" s="99"/>
      <c r="I238" s="99"/>
      <c r="J238" s="99"/>
      <c r="K238" s="99"/>
      <c r="L238" s="99"/>
      <c r="M238" s="99"/>
      <c r="N238" s="99"/>
      <c r="O238" s="99"/>
      <c r="P238" s="99"/>
      <c r="Q238" s="99"/>
      <c r="R238" s="99"/>
      <c r="S238" s="99"/>
      <c r="T238" s="99"/>
      <c r="U238" s="99"/>
      <c r="V238" s="99"/>
      <c r="W238" s="99"/>
      <c r="X238" s="99"/>
      <c r="Y238" s="99"/>
      <c r="Z238" s="99"/>
      <c r="AA238" s="99"/>
      <c r="AB238" s="99"/>
      <c r="AC238" s="99"/>
    </row>
    <row r="239" spans="2:29">
      <c r="B239" s="99"/>
      <c r="C239" s="119"/>
      <c r="D239" s="119"/>
      <c r="E239" s="119"/>
      <c r="F239" s="120"/>
      <c r="G239" s="120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99"/>
      <c r="S239" s="99"/>
      <c r="T239" s="99"/>
      <c r="U239" s="99"/>
      <c r="V239" s="99"/>
      <c r="W239" s="99"/>
      <c r="X239" s="99"/>
      <c r="Y239" s="99"/>
      <c r="Z239" s="99"/>
      <c r="AA239" s="99"/>
      <c r="AB239" s="99"/>
      <c r="AC239" s="99"/>
    </row>
    <row r="240" spans="2:29">
      <c r="B240" s="99"/>
      <c r="C240" s="119"/>
      <c r="D240" s="119"/>
      <c r="E240" s="119"/>
      <c r="F240" s="120"/>
      <c r="G240" s="120"/>
      <c r="H240" s="99"/>
      <c r="I240" s="99"/>
      <c r="J240" s="99"/>
      <c r="K240" s="99"/>
      <c r="L240" s="99"/>
      <c r="M240" s="99"/>
      <c r="N240" s="99"/>
      <c r="O240" s="99"/>
      <c r="P240" s="99"/>
      <c r="Q240" s="99"/>
      <c r="R240" s="99"/>
      <c r="S240" s="99"/>
      <c r="T240" s="99"/>
      <c r="U240" s="99"/>
      <c r="V240" s="99"/>
      <c r="W240" s="99"/>
      <c r="X240" s="99"/>
      <c r="Y240" s="99"/>
      <c r="Z240" s="99"/>
      <c r="AA240" s="99"/>
      <c r="AB240" s="99"/>
      <c r="AC240" s="99"/>
    </row>
    <row r="241" spans="2:29">
      <c r="B241" s="99"/>
      <c r="C241" s="119"/>
      <c r="D241" s="119"/>
      <c r="E241" s="119"/>
      <c r="F241" s="120"/>
      <c r="G241" s="120"/>
      <c r="H241" s="99"/>
      <c r="I241" s="99"/>
      <c r="J241" s="99"/>
      <c r="K241" s="99"/>
      <c r="L241" s="99"/>
      <c r="M241" s="99"/>
      <c r="N241" s="99"/>
      <c r="O241" s="99"/>
      <c r="P241" s="99"/>
      <c r="Q241" s="99"/>
      <c r="R241" s="99"/>
      <c r="S241" s="99"/>
      <c r="T241" s="99"/>
      <c r="U241" s="99"/>
      <c r="V241" s="99"/>
      <c r="W241" s="99"/>
      <c r="X241" s="99"/>
      <c r="Y241" s="99"/>
      <c r="Z241" s="99"/>
      <c r="AA241" s="99"/>
      <c r="AB241" s="99"/>
      <c r="AC241" s="99"/>
    </row>
    <row r="242" spans="2:29">
      <c r="B242" s="99"/>
      <c r="C242" s="119"/>
      <c r="D242" s="119"/>
      <c r="E242" s="119"/>
      <c r="F242" s="120"/>
      <c r="G242" s="120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99"/>
      <c r="S242" s="99"/>
      <c r="T242" s="99"/>
      <c r="U242" s="99"/>
      <c r="V242" s="99"/>
      <c r="W242" s="99"/>
      <c r="X242" s="99"/>
      <c r="Y242" s="99"/>
      <c r="Z242" s="99"/>
      <c r="AA242" s="99"/>
      <c r="AB242" s="99"/>
      <c r="AC242" s="99"/>
    </row>
    <row r="243" spans="2:29">
      <c r="B243" s="99"/>
      <c r="C243" s="119"/>
      <c r="D243" s="119"/>
      <c r="E243" s="119"/>
      <c r="F243" s="120"/>
      <c r="G243" s="120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99"/>
      <c r="S243" s="99"/>
      <c r="T243" s="99"/>
      <c r="U243" s="99"/>
      <c r="V243" s="99"/>
      <c r="W243" s="99"/>
      <c r="X243" s="99"/>
      <c r="Y243" s="99"/>
      <c r="Z243" s="99"/>
      <c r="AA243" s="99"/>
      <c r="AB243" s="99"/>
      <c r="AC243" s="99"/>
    </row>
    <row r="244" spans="2:29">
      <c r="B244" s="99"/>
      <c r="C244" s="119"/>
      <c r="D244" s="119"/>
      <c r="E244" s="119"/>
      <c r="F244" s="120"/>
      <c r="G244" s="120"/>
      <c r="H244" s="99"/>
      <c r="I244" s="99"/>
      <c r="J244" s="99"/>
      <c r="K244" s="99"/>
      <c r="L244" s="99"/>
      <c r="M244" s="99"/>
      <c r="N244" s="99"/>
      <c r="O244" s="99"/>
      <c r="P244" s="99"/>
      <c r="Q244" s="99"/>
      <c r="R244" s="99"/>
      <c r="S244" s="99"/>
      <c r="T244" s="99"/>
      <c r="U244" s="99"/>
      <c r="V244" s="99"/>
      <c r="W244" s="99"/>
      <c r="X244" s="99"/>
      <c r="Y244" s="99"/>
      <c r="Z244" s="99"/>
      <c r="AA244" s="99"/>
      <c r="AB244" s="99"/>
      <c r="AC244" s="99"/>
    </row>
    <row r="245" spans="2:29">
      <c r="B245" s="99"/>
      <c r="C245" s="119"/>
      <c r="D245" s="119"/>
      <c r="E245" s="119"/>
      <c r="F245" s="120"/>
      <c r="G245" s="120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99"/>
      <c r="S245" s="99"/>
      <c r="T245" s="99"/>
      <c r="U245" s="99"/>
      <c r="V245" s="99"/>
      <c r="W245" s="99"/>
      <c r="X245" s="99"/>
      <c r="Y245" s="99"/>
      <c r="Z245" s="99"/>
      <c r="AA245" s="99"/>
      <c r="AB245" s="99"/>
      <c r="AC245" s="99"/>
    </row>
    <row r="246" spans="2:29">
      <c r="B246" s="99"/>
      <c r="C246" s="119"/>
      <c r="D246" s="119"/>
      <c r="E246" s="119"/>
      <c r="F246" s="120"/>
      <c r="G246" s="120"/>
      <c r="H246" s="99"/>
      <c r="I246" s="99"/>
      <c r="J246" s="99"/>
      <c r="K246" s="99"/>
      <c r="L246" s="99"/>
      <c r="M246" s="99"/>
      <c r="N246" s="99"/>
      <c r="O246" s="99"/>
      <c r="P246" s="99"/>
      <c r="Q246" s="99"/>
      <c r="R246" s="99"/>
      <c r="S246" s="99"/>
      <c r="T246" s="99"/>
      <c r="U246" s="99"/>
      <c r="V246" s="99"/>
      <c r="W246" s="99"/>
      <c r="X246" s="99"/>
      <c r="Y246" s="99"/>
      <c r="Z246" s="99"/>
      <c r="AA246" s="99"/>
      <c r="AB246" s="99"/>
      <c r="AC246" s="99"/>
    </row>
    <row r="247" spans="2:29">
      <c r="B247" s="99"/>
      <c r="C247" s="119"/>
      <c r="D247" s="119"/>
      <c r="E247" s="119"/>
      <c r="F247" s="120"/>
      <c r="G247" s="120"/>
      <c r="H247" s="99"/>
      <c r="I247" s="99"/>
      <c r="J247" s="99"/>
      <c r="K247" s="99"/>
      <c r="L247" s="99"/>
      <c r="M247" s="99"/>
      <c r="N247" s="99"/>
      <c r="O247" s="99"/>
      <c r="P247" s="99"/>
      <c r="Q247" s="99"/>
      <c r="R247" s="99"/>
      <c r="S247" s="99"/>
      <c r="T247" s="99"/>
      <c r="U247" s="99"/>
      <c r="V247" s="99"/>
      <c r="W247" s="99"/>
      <c r="X247" s="99"/>
      <c r="Y247" s="99"/>
      <c r="Z247" s="99"/>
      <c r="AA247" s="99"/>
      <c r="AB247" s="99"/>
      <c r="AC247" s="99"/>
    </row>
    <row r="248" spans="2:29">
      <c r="B248" s="99"/>
      <c r="C248" s="119"/>
      <c r="D248" s="119"/>
      <c r="E248" s="119"/>
      <c r="F248" s="120"/>
      <c r="G248" s="120"/>
      <c r="H248" s="99"/>
      <c r="I248" s="99"/>
      <c r="J248" s="99"/>
      <c r="K248" s="99"/>
      <c r="L248" s="99"/>
      <c r="M248" s="99"/>
      <c r="N248" s="99"/>
      <c r="O248" s="99"/>
      <c r="P248" s="99"/>
      <c r="Q248" s="99"/>
      <c r="R248" s="99"/>
      <c r="S248" s="99"/>
      <c r="T248" s="99"/>
      <c r="U248" s="99"/>
      <c r="V248" s="99"/>
      <c r="W248" s="99"/>
      <c r="X248" s="99"/>
      <c r="Y248" s="99"/>
      <c r="Z248" s="99"/>
      <c r="AA248" s="99"/>
      <c r="AB248" s="99"/>
      <c r="AC248" s="99"/>
    </row>
    <row r="249" spans="2:29">
      <c r="B249" s="99"/>
      <c r="C249" s="119"/>
      <c r="D249" s="119"/>
      <c r="E249" s="119"/>
      <c r="F249" s="120"/>
      <c r="G249" s="120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99"/>
      <c r="S249" s="99"/>
      <c r="T249" s="99"/>
      <c r="U249" s="99"/>
      <c r="V249" s="99"/>
      <c r="W249" s="99"/>
      <c r="X249" s="99"/>
      <c r="Y249" s="99"/>
      <c r="Z249" s="99"/>
      <c r="AA249" s="99"/>
      <c r="AB249" s="99"/>
      <c r="AC249" s="99"/>
    </row>
    <row r="250" spans="2:29">
      <c r="B250" s="99"/>
      <c r="C250" s="119"/>
      <c r="D250" s="119"/>
      <c r="E250" s="119"/>
      <c r="F250" s="120"/>
      <c r="G250" s="120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99"/>
      <c r="S250" s="99"/>
      <c r="T250" s="99"/>
      <c r="U250" s="99"/>
      <c r="V250" s="99"/>
      <c r="W250" s="99"/>
      <c r="X250" s="99"/>
      <c r="Y250" s="99"/>
      <c r="Z250" s="99"/>
      <c r="AA250" s="99"/>
      <c r="AB250" s="99"/>
      <c r="AC250" s="99"/>
    </row>
    <row r="251" spans="2:29">
      <c r="B251" s="99"/>
      <c r="C251" s="119"/>
      <c r="D251" s="119"/>
      <c r="E251" s="119"/>
      <c r="F251" s="120"/>
      <c r="G251" s="120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99"/>
      <c r="S251" s="99"/>
      <c r="T251" s="99"/>
      <c r="U251" s="99"/>
      <c r="V251" s="99"/>
      <c r="W251" s="99"/>
      <c r="X251" s="99"/>
      <c r="Y251" s="99"/>
      <c r="Z251" s="99"/>
      <c r="AA251" s="99"/>
      <c r="AB251" s="99"/>
      <c r="AC251" s="99"/>
    </row>
    <row r="252" spans="2:29">
      <c r="B252" s="99"/>
      <c r="C252" s="119"/>
      <c r="D252" s="119"/>
      <c r="E252" s="119"/>
      <c r="F252" s="120"/>
      <c r="G252" s="120"/>
      <c r="H252" s="99"/>
      <c r="I252" s="99"/>
      <c r="J252" s="99"/>
      <c r="K252" s="99"/>
      <c r="L252" s="99"/>
      <c r="M252" s="99"/>
      <c r="N252" s="99"/>
      <c r="O252" s="99"/>
      <c r="P252" s="99"/>
      <c r="Q252" s="99"/>
      <c r="R252" s="99"/>
      <c r="S252" s="99"/>
      <c r="T252" s="99"/>
      <c r="U252" s="99"/>
      <c r="V252" s="99"/>
      <c r="W252" s="99"/>
      <c r="X252" s="99"/>
      <c r="Y252" s="99"/>
      <c r="Z252" s="99"/>
      <c r="AA252" s="99"/>
      <c r="AB252" s="99"/>
      <c r="AC252" s="99"/>
    </row>
    <row r="253" spans="2:29">
      <c r="B253" s="99"/>
      <c r="C253" s="119"/>
      <c r="D253" s="119"/>
      <c r="E253" s="119"/>
      <c r="F253" s="120"/>
      <c r="G253" s="120"/>
      <c r="H253" s="99"/>
      <c r="I253" s="99"/>
      <c r="J253" s="99"/>
      <c r="K253" s="99"/>
      <c r="L253" s="99"/>
      <c r="M253" s="99"/>
      <c r="N253" s="99"/>
      <c r="O253" s="99"/>
      <c r="P253" s="99"/>
      <c r="Q253" s="99"/>
      <c r="R253" s="99"/>
      <c r="S253" s="99"/>
      <c r="T253" s="99"/>
      <c r="U253" s="99"/>
      <c r="V253" s="99"/>
      <c r="W253" s="99"/>
      <c r="X253" s="99"/>
      <c r="Y253" s="99"/>
      <c r="Z253" s="99"/>
      <c r="AA253" s="99"/>
      <c r="AB253" s="99"/>
      <c r="AC253" s="99"/>
    </row>
    <row r="254" spans="2:29">
      <c r="B254" s="99"/>
      <c r="C254" s="119"/>
      <c r="D254" s="119"/>
      <c r="E254" s="119"/>
      <c r="F254" s="120"/>
      <c r="G254" s="120"/>
      <c r="H254" s="99"/>
      <c r="I254" s="99"/>
      <c r="J254" s="99"/>
      <c r="K254" s="99"/>
      <c r="L254" s="99"/>
      <c r="M254" s="99"/>
      <c r="N254" s="99"/>
      <c r="O254" s="99"/>
      <c r="P254" s="99"/>
      <c r="Q254" s="99"/>
      <c r="R254" s="99"/>
      <c r="S254" s="99"/>
      <c r="T254" s="99"/>
      <c r="U254" s="99"/>
      <c r="V254" s="99"/>
      <c r="W254" s="99"/>
      <c r="X254" s="99"/>
      <c r="Y254" s="99"/>
      <c r="Z254" s="99"/>
      <c r="AA254" s="99"/>
      <c r="AB254" s="99"/>
      <c r="AC254" s="99"/>
    </row>
    <row r="255" spans="2:29">
      <c r="B255" s="99"/>
      <c r="C255" s="119"/>
      <c r="D255" s="119"/>
      <c r="E255" s="119"/>
      <c r="F255" s="120"/>
      <c r="G255" s="120"/>
      <c r="H255" s="99"/>
      <c r="I255" s="99"/>
      <c r="J255" s="99"/>
      <c r="K255" s="99"/>
      <c r="L255" s="99"/>
      <c r="M255" s="99"/>
      <c r="N255" s="99"/>
      <c r="O255" s="99"/>
      <c r="P255" s="99"/>
      <c r="Q255" s="99"/>
      <c r="R255" s="99"/>
      <c r="S255" s="99"/>
      <c r="T255" s="99"/>
      <c r="U255" s="99"/>
      <c r="V255" s="99"/>
      <c r="W255" s="99"/>
      <c r="X255" s="99"/>
      <c r="Y255" s="99"/>
      <c r="Z255" s="99"/>
      <c r="AA255" s="99"/>
      <c r="AB255" s="99"/>
      <c r="AC255" s="99"/>
    </row>
    <row r="256" spans="2:29">
      <c r="B256" s="99"/>
      <c r="C256" s="119"/>
      <c r="D256" s="119"/>
      <c r="E256" s="119"/>
      <c r="F256" s="120"/>
      <c r="G256" s="120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99"/>
      <c r="S256" s="99"/>
      <c r="T256" s="99"/>
      <c r="U256" s="99"/>
      <c r="V256" s="99"/>
      <c r="W256" s="99"/>
      <c r="X256" s="99"/>
      <c r="Y256" s="99"/>
      <c r="Z256" s="99"/>
      <c r="AA256" s="99"/>
      <c r="AB256" s="99"/>
      <c r="AC256" s="99"/>
    </row>
    <row r="257" spans="2:29">
      <c r="B257" s="99"/>
      <c r="C257" s="119"/>
      <c r="D257" s="119"/>
      <c r="E257" s="119"/>
      <c r="F257" s="120"/>
      <c r="G257" s="120"/>
      <c r="H257" s="99"/>
      <c r="I257" s="99"/>
      <c r="J257" s="99"/>
      <c r="K257" s="99"/>
      <c r="L257" s="99"/>
      <c r="M257" s="99"/>
      <c r="N257" s="99"/>
      <c r="O257" s="99"/>
      <c r="P257" s="99"/>
      <c r="Q257" s="99"/>
      <c r="R257" s="99"/>
      <c r="S257" s="99"/>
      <c r="T257" s="99"/>
      <c r="U257" s="99"/>
      <c r="V257" s="99"/>
      <c r="W257" s="99"/>
      <c r="X257" s="99"/>
      <c r="Y257" s="99"/>
      <c r="Z257" s="99"/>
      <c r="AA257" s="99"/>
      <c r="AB257" s="99"/>
      <c r="AC257" s="99"/>
    </row>
    <row r="258" spans="2:29">
      <c r="B258" s="99"/>
      <c r="C258" s="119"/>
      <c r="D258" s="119"/>
      <c r="E258" s="119"/>
      <c r="F258" s="120"/>
      <c r="G258" s="120"/>
      <c r="H258" s="99"/>
      <c r="I258" s="99"/>
      <c r="J258" s="99"/>
      <c r="K258" s="99"/>
      <c r="L258" s="99"/>
      <c r="M258" s="99"/>
      <c r="N258" s="99"/>
      <c r="O258" s="99"/>
      <c r="P258" s="99"/>
      <c r="Q258" s="99"/>
      <c r="R258" s="99"/>
      <c r="S258" s="99"/>
      <c r="T258" s="99"/>
      <c r="U258" s="99"/>
      <c r="V258" s="99"/>
      <c r="W258" s="99"/>
      <c r="X258" s="99"/>
      <c r="Y258" s="99"/>
      <c r="Z258" s="99"/>
      <c r="AA258" s="99"/>
      <c r="AB258" s="99"/>
      <c r="AC258" s="99"/>
    </row>
    <row r="259" spans="2:29">
      <c r="B259" s="99"/>
      <c r="C259" s="119"/>
      <c r="D259" s="119"/>
      <c r="E259" s="119"/>
      <c r="F259" s="120"/>
      <c r="G259" s="120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99"/>
      <c r="S259" s="99"/>
      <c r="T259" s="99"/>
      <c r="U259" s="99"/>
      <c r="V259" s="99"/>
      <c r="W259" s="99"/>
      <c r="X259" s="99"/>
      <c r="Y259" s="99"/>
      <c r="Z259" s="99"/>
      <c r="AA259" s="99"/>
      <c r="AB259" s="99"/>
      <c r="AC259" s="99"/>
    </row>
    <row r="260" spans="2:29">
      <c r="B260" s="99"/>
      <c r="C260" s="119"/>
      <c r="D260" s="119"/>
      <c r="E260" s="119"/>
      <c r="F260" s="120"/>
      <c r="G260" s="120"/>
      <c r="H260" s="99"/>
      <c r="I260" s="99"/>
      <c r="J260" s="99"/>
      <c r="K260" s="99"/>
      <c r="L260" s="99"/>
      <c r="M260" s="99"/>
      <c r="N260" s="99"/>
      <c r="O260" s="99"/>
      <c r="P260" s="99"/>
      <c r="Q260" s="99"/>
      <c r="R260" s="99"/>
      <c r="S260" s="99"/>
      <c r="T260" s="99"/>
      <c r="U260" s="99"/>
      <c r="V260" s="99"/>
      <c r="W260" s="99"/>
      <c r="X260" s="99"/>
      <c r="Y260" s="99"/>
      <c r="Z260" s="99"/>
      <c r="AA260" s="99"/>
      <c r="AB260" s="99"/>
      <c r="AC260" s="99"/>
    </row>
    <row r="261" spans="2:29">
      <c r="B261" s="99"/>
      <c r="C261" s="119"/>
      <c r="D261" s="119"/>
      <c r="E261" s="119"/>
      <c r="F261" s="120"/>
      <c r="G261" s="120"/>
      <c r="H261" s="99"/>
      <c r="I261" s="99"/>
      <c r="J261" s="99"/>
      <c r="K261" s="99"/>
      <c r="L261" s="99"/>
      <c r="M261" s="99"/>
      <c r="N261" s="99"/>
      <c r="O261" s="99"/>
      <c r="P261" s="99"/>
      <c r="Q261" s="99"/>
      <c r="R261" s="99"/>
      <c r="S261" s="99"/>
      <c r="T261" s="99"/>
      <c r="U261" s="99"/>
      <c r="V261" s="99"/>
      <c r="W261" s="99"/>
      <c r="X261" s="99"/>
      <c r="Y261" s="99"/>
      <c r="Z261" s="99"/>
      <c r="AA261" s="99"/>
      <c r="AB261" s="99"/>
      <c r="AC261" s="99"/>
    </row>
    <row r="262" spans="2:29">
      <c r="B262" s="99"/>
      <c r="C262" s="119"/>
      <c r="D262" s="119"/>
      <c r="E262" s="119"/>
      <c r="F262" s="120"/>
      <c r="G262" s="120"/>
      <c r="H262" s="99"/>
      <c r="I262" s="99"/>
      <c r="J262" s="99"/>
      <c r="K262" s="99"/>
      <c r="L262" s="99"/>
      <c r="M262" s="99"/>
      <c r="N262" s="99"/>
      <c r="O262" s="99"/>
      <c r="P262" s="99"/>
      <c r="Q262" s="99"/>
      <c r="R262" s="99"/>
      <c r="S262" s="99"/>
      <c r="T262" s="99"/>
      <c r="U262" s="99"/>
      <c r="V262" s="99"/>
      <c r="W262" s="99"/>
      <c r="X262" s="99"/>
      <c r="Y262" s="99"/>
      <c r="Z262" s="99"/>
      <c r="AA262" s="99"/>
      <c r="AB262" s="99"/>
      <c r="AC262" s="99"/>
    </row>
    <row r="263" spans="2:29">
      <c r="B263" s="99"/>
      <c r="C263" s="119"/>
      <c r="D263" s="119"/>
      <c r="E263" s="119"/>
      <c r="F263" s="120"/>
      <c r="G263" s="120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R263" s="99"/>
      <c r="S263" s="99"/>
      <c r="T263" s="99"/>
      <c r="U263" s="99"/>
      <c r="V263" s="99"/>
      <c r="W263" s="99"/>
      <c r="X263" s="99"/>
      <c r="Y263" s="99"/>
      <c r="Z263" s="99"/>
      <c r="AA263" s="99"/>
      <c r="AB263" s="99"/>
      <c r="AC263" s="99"/>
    </row>
    <row r="264" spans="2:29">
      <c r="B264" s="99"/>
      <c r="C264" s="119"/>
      <c r="D264" s="119"/>
      <c r="E264" s="119"/>
      <c r="F264" s="120"/>
      <c r="G264" s="120"/>
      <c r="H264" s="99"/>
      <c r="I264" s="99"/>
      <c r="J264" s="99"/>
      <c r="K264" s="99"/>
      <c r="L264" s="99"/>
      <c r="M264" s="99"/>
      <c r="N264" s="99"/>
      <c r="O264" s="99"/>
      <c r="P264" s="99"/>
      <c r="Q264" s="99"/>
      <c r="R264" s="99"/>
      <c r="S264" s="99"/>
      <c r="T264" s="99"/>
      <c r="U264" s="99"/>
      <c r="V264" s="99"/>
      <c r="W264" s="99"/>
      <c r="X264" s="99"/>
      <c r="Y264" s="99"/>
      <c r="Z264" s="99"/>
      <c r="AA264" s="99"/>
      <c r="AB264" s="99"/>
      <c r="AC264" s="99"/>
    </row>
    <row r="265" spans="2:29">
      <c r="B265" s="99"/>
      <c r="C265" s="119"/>
      <c r="D265" s="119"/>
      <c r="E265" s="119"/>
      <c r="F265" s="120"/>
      <c r="G265" s="120"/>
      <c r="H265" s="99"/>
      <c r="I265" s="99"/>
      <c r="J265" s="99"/>
      <c r="K265" s="99"/>
      <c r="L265" s="99"/>
      <c r="M265" s="99"/>
      <c r="N265" s="99"/>
      <c r="O265" s="99"/>
      <c r="P265" s="99"/>
      <c r="Q265" s="99"/>
      <c r="R265" s="99"/>
      <c r="S265" s="99"/>
      <c r="T265" s="99"/>
      <c r="U265" s="99"/>
      <c r="V265" s="99"/>
      <c r="W265" s="99"/>
      <c r="X265" s="99"/>
      <c r="Y265" s="99"/>
      <c r="Z265" s="99"/>
      <c r="AA265" s="99"/>
      <c r="AB265" s="99"/>
      <c r="AC265" s="99"/>
    </row>
    <row r="266" spans="2:29">
      <c r="B266" s="99"/>
      <c r="C266" s="119"/>
      <c r="D266" s="119"/>
      <c r="E266" s="119"/>
      <c r="F266" s="120"/>
      <c r="G266" s="120"/>
      <c r="H266" s="99"/>
      <c r="I266" s="99"/>
      <c r="J266" s="99"/>
      <c r="K266" s="99"/>
      <c r="L266" s="99"/>
      <c r="M266" s="99"/>
      <c r="N266" s="99"/>
      <c r="O266" s="99"/>
      <c r="P266" s="99"/>
      <c r="Q266" s="99"/>
      <c r="R266" s="99"/>
      <c r="S266" s="99"/>
      <c r="T266" s="99"/>
      <c r="U266" s="99"/>
      <c r="V266" s="99"/>
      <c r="W266" s="99"/>
      <c r="X266" s="99"/>
      <c r="Y266" s="99"/>
      <c r="Z266" s="99"/>
      <c r="AA266" s="99"/>
      <c r="AB266" s="99"/>
      <c r="AC266" s="99"/>
    </row>
    <row r="267" spans="2:29">
      <c r="B267" s="99"/>
      <c r="C267" s="119"/>
      <c r="D267" s="119"/>
      <c r="E267" s="119"/>
      <c r="F267" s="120"/>
      <c r="G267" s="120"/>
      <c r="H267" s="99"/>
      <c r="I267" s="99"/>
      <c r="J267" s="99"/>
      <c r="K267" s="99"/>
      <c r="L267" s="99"/>
      <c r="M267" s="99"/>
      <c r="N267" s="99"/>
      <c r="O267" s="99"/>
      <c r="P267" s="99"/>
      <c r="Q267" s="99"/>
      <c r="R267" s="99"/>
      <c r="S267" s="99"/>
      <c r="T267" s="99"/>
      <c r="U267" s="99"/>
      <c r="V267" s="99"/>
      <c r="W267" s="99"/>
      <c r="X267" s="99"/>
      <c r="Y267" s="99"/>
      <c r="Z267" s="99"/>
      <c r="AA267" s="99"/>
      <c r="AB267" s="99"/>
      <c r="AC267" s="99"/>
    </row>
    <row r="268" spans="2:29">
      <c r="B268" s="99"/>
      <c r="C268" s="119"/>
      <c r="D268" s="119"/>
      <c r="E268" s="119"/>
      <c r="F268" s="120"/>
      <c r="G268" s="120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99"/>
      <c r="S268" s="99"/>
      <c r="T268" s="99"/>
      <c r="U268" s="99"/>
      <c r="V268" s="99"/>
      <c r="W268" s="99"/>
      <c r="X268" s="99"/>
      <c r="Y268" s="99"/>
      <c r="Z268" s="99"/>
      <c r="AA268" s="99"/>
      <c r="AB268" s="99"/>
      <c r="AC268" s="99"/>
    </row>
    <row r="269" spans="2:29">
      <c r="B269" s="99"/>
      <c r="C269" s="119"/>
      <c r="D269" s="119"/>
      <c r="E269" s="119"/>
      <c r="F269" s="120"/>
      <c r="G269" s="120"/>
      <c r="H269" s="99"/>
      <c r="I269" s="99"/>
      <c r="J269" s="99"/>
      <c r="K269" s="99"/>
      <c r="L269" s="99"/>
      <c r="M269" s="99"/>
      <c r="N269" s="99"/>
      <c r="O269" s="99"/>
      <c r="P269" s="99"/>
      <c r="Q269" s="99"/>
      <c r="R269" s="99"/>
      <c r="S269" s="99"/>
      <c r="T269" s="99"/>
      <c r="U269" s="99"/>
      <c r="V269" s="99"/>
      <c r="W269" s="99"/>
      <c r="X269" s="99"/>
      <c r="Y269" s="99"/>
      <c r="Z269" s="99"/>
      <c r="AA269" s="99"/>
      <c r="AB269" s="99"/>
      <c r="AC269" s="99"/>
    </row>
    <row r="270" spans="2:29">
      <c r="B270" s="99"/>
      <c r="C270" s="119"/>
      <c r="D270" s="119"/>
      <c r="E270" s="119"/>
      <c r="F270" s="120"/>
      <c r="G270" s="120"/>
      <c r="H270" s="99"/>
      <c r="I270" s="99"/>
      <c r="J270" s="99"/>
      <c r="K270" s="99"/>
      <c r="L270" s="99"/>
      <c r="M270" s="99"/>
      <c r="N270" s="99"/>
      <c r="O270" s="99"/>
      <c r="P270" s="99"/>
      <c r="Q270" s="99"/>
      <c r="R270" s="99"/>
      <c r="S270" s="99"/>
      <c r="T270" s="99"/>
      <c r="U270" s="99"/>
      <c r="V270" s="99"/>
      <c r="W270" s="99"/>
      <c r="X270" s="99"/>
      <c r="Y270" s="99"/>
      <c r="Z270" s="99"/>
      <c r="AA270" s="99"/>
      <c r="AB270" s="99"/>
      <c r="AC270" s="99"/>
    </row>
    <row r="271" spans="2:29">
      <c r="B271" s="99"/>
      <c r="C271" s="119"/>
      <c r="D271" s="119"/>
      <c r="E271" s="119"/>
      <c r="F271" s="120"/>
      <c r="G271" s="120"/>
      <c r="H271" s="99"/>
      <c r="I271" s="99"/>
      <c r="J271" s="99"/>
      <c r="K271" s="99"/>
      <c r="L271" s="99"/>
      <c r="M271" s="99"/>
      <c r="N271" s="99"/>
      <c r="O271" s="99"/>
      <c r="P271" s="99"/>
      <c r="Q271" s="99"/>
      <c r="R271" s="99"/>
      <c r="S271" s="99"/>
      <c r="T271" s="99"/>
      <c r="U271" s="99"/>
      <c r="V271" s="99"/>
      <c r="W271" s="99"/>
      <c r="X271" s="99"/>
      <c r="Y271" s="99"/>
      <c r="Z271" s="99"/>
      <c r="AA271" s="99"/>
      <c r="AB271" s="99"/>
      <c r="AC271" s="99"/>
    </row>
    <row r="272" spans="2:29">
      <c r="B272" s="99"/>
      <c r="C272" s="119"/>
      <c r="D272" s="119"/>
      <c r="E272" s="119"/>
      <c r="F272" s="120"/>
      <c r="G272" s="120"/>
      <c r="H272" s="99"/>
      <c r="I272" s="99"/>
      <c r="J272" s="99"/>
      <c r="K272" s="99"/>
      <c r="L272" s="99"/>
      <c r="M272" s="99"/>
      <c r="N272" s="99"/>
      <c r="O272" s="99"/>
      <c r="P272" s="99"/>
      <c r="Q272" s="99"/>
      <c r="R272" s="99"/>
      <c r="S272" s="99"/>
      <c r="T272" s="99"/>
      <c r="U272" s="99"/>
      <c r="V272" s="99"/>
      <c r="W272" s="99"/>
      <c r="X272" s="99"/>
      <c r="Y272" s="99"/>
      <c r="Z272" s="99"/>
      <c r="AA272" s="99"/>
      <c r="AB272" s="99"/>
      <c r="AC272" s="99"/>
    </row>
    <row r="273" spans="2:29">
      <c r="B273" s="99"/>
      <c r="C273" s="119"/>
      <c r="D273" s="119"/>
      <c r="E273" s="119"/>
      <c r="F273" s="120"/>
      <c r="G273" s="120"/>
      <c r="H273" s="99"/>
      <c r="I273" s="99"/>
      <c r="J273" s="99"/>
      <c r="K273" s="99"/>
      <c r="L273" s="99"/>
      <c r="M273" s="99"/>
      <c r="N273" s="99"/>
      <c r="O273" s="99"/>
      <c r="P273" s="99"/>
      <c r="Q273" s="99"/>
      <c r="R273" s="99"/>
      <c r="S273" s="99"/>
      <c r="T273" s="99"/>
      <c r="U273" s="99"/>
      <c r="V273" s="99"/>
      <c r="W273" s="99"/>
      <c r="X273" s="99"/>
      <c r="Y273" s="99"/>
      <c r="Z273" s="99"/>
      <c r="AA273" s="99"/>
      <c r="AB273" s="99"/>
      <c r="AC273" s="99"/>
    </row>
    <row r="274" spans="2:29">
      <c r="B274" s="99"/>
      <c r="C274" s="119"/>
      <c r="D274" s="119"/>
      <c r="E274" s="119"/>
      <c r="F274" s="120"/>
      <c r="G274" s="120"/>
      <c r="H274" s="99"/>
      <c r="I274" s="99"/>
      <c r="J274" s="99"/>
      <c r="K274" s="99"/>
      <c r="L274" s="99"/>
      <c r="M274" s="99"/>
      <c r="N274" s="99"/>
      <c r="O274" s="99"/>
      <c r="P274" s="99"/>
      <c r="Q274" s="99"/>
      <c r="R274" s="99"/>
      <c r="S274" s="99"/>
      <c r="T274" s="99"/>
      <c r="U274" s="99"/>
      <c r="V274" s="99"/>
      <c r="W274" s="99"/>
      <c r="X274" s="99"/>
      <c r="Y274" s="99"/>
      <c r="Z274" s="99"/>
      <c r="AA274" s="99"/>
      <c r="AB274" s="99"/>
      <c r="AC274" s="99"/>
    </row>
    <row r="275" spans="2:29">
      <c r="B275" s="99"/>
      <c r="C275" s="119"/>
      <c r="D275" s="119"/>
      <c r="E275" s="119"/>
      <c r="F275" s="120"/>
      <c r="G275" s="120"/>
      <c r="H275" s="99"/>
      <c r="I275" s="99"/>
      <c r="J275" s="99"/>
      <c r="K275" s="99"/>
      <c r="L275" s="99"/>
      <c r="M275" s="99"/>
      <c r="N275" s="99"/>
      <c r="O275" s="99"/>
      <c r="P275" s="99"/>
      <c r="Q275" s="99"/>
      <c r="R275" s="99"/>
      <c r="S275" s="99"/>
      <c r="T275" s="99"/>
      <c r="U275" s="99"/>
      <c r="V275" s="99"/>
      <c r="W275" s="99"/>
      <c r="X275" s="99"/>
      <c r="Y275" s="99"/>
      <c r="Z275" s="99"/>
      <c r="AA275" s="99"/>
      <c r="AB275" s="99"/>
      <c r="AC275" s="99"/>
    </row>
    <row r="276" spans="2:29">
      <c r="B276" s="99"/>
      <c r="C276" s="119"/>
      <c r="D276" s="119"/>
      <c r="E276" s="119"/>
      <c r="F276" s="120"/>
      <c r="G276" s="120"/>
      <c r="H276" s="99"/>
      <c r="I276" s="99"/>
      <c r="J276" s="99"/>
      <c r="K276" s="99"/>
      <c r="L276" s="99"/>
      <c r="M276" s="99"/>
      <c r="N276" s="99"/>
      <c r="O276" s="99"/>
      <c r="P276" s="99"/>
      <c r="Q276" s="99"/>
      <c r="R276" s="99"/>
      <c r="S276" s="99"/>
      <c r="T276" s="99"/>
      <c r="U276" s="99"/>
      <c r="V276" s="99"/>
      <c r="W276" s="99"/>
      <c r="X276" s="99"/>
      <c r="Y276" s="99"/>
      <c r="Z276" s="99"/>
      <c r="AA276" s="99"/>
      <c r="AB276" s="99"/>
      <c r="AC276" s="99"/>
    </row>
    <row r="277" spans="2:29">
      <c r="B277" s="99"/>
      <c r="C277" s="119"/>
      <c r="D277" s="119"/>
      <c r="E277" s="119"/>
      <c r="F277" s="120"/>
      <c r="G277" s="120"/>
      <c r="H277" s="99"/>
      <c r="I277" s="99"/>
      <c r="J277" s="99"/>
      <c r="K277" s="99"/>
      <c r="L277" s="99"/>
      <c r="M277" s="99"/>
      <c r="N277" s="99"/>
      <c r="O277" s="99"/>
      <c r="P277" s="99"/>
      <c r="Q277" s="99"/>
      <c r="R277" s="99"/>
      <c r="S277" s="99"/>
      <c r="T277" s="99"/>
      <c r="U277" s="99"/>
      <c r="V277" s="99"/>
      <c r="W277" s="99"/>
      <c r="X277" s="99"/>
      <c r="Y277" s="99"/>
      <c r="Z277" s="99"/>
      <c r="AA277" s="99"/>
      <c r="AB277" s="99"/>
      <c r="AC277" s="99"/>
    </row>
    <row r="278" spans="2:29">
      <c r="B278" s="99"/>
      <c r="C278" s="119"/>
      <c r="D278" s="119"/>
      <c r="E278" s="119"/>
      <c r="F278" s="120"/>
      <c r="G278" s="120"/>
      <c r="H278" s="99"/>
      <c r="I278" s="99"/>
      <c r="J278" s="99"/>
      <c r="K278" s="99"/>
      <c r="L278" s="99"/>
      <c r="M278" s="99"/>
      <c r="N278" s="99"/>
      <c r="O278" s="99"/>
      <c r="P278" s="99"/>
      <c r="Q278" s="99"/>
      <c r="R278" s="99"/>
      <c r="S278" s="99"/>
      <c r="T278" s="99"/>
      <c r="U278" s="99"/>
      <c r="V278" s="99"/>
      <c r="W278" s="99"/>
      <c r="X278" s="99"/>
      <c r="Y278" s="99"/>
      <c r="Z278" s="99"/>
      <c r="AA278" s="99"/>
      <c r="AB278" s="99"/>
      <c r="AC278" s="99"/>
    </row>
    <row r="279" spans="2:29">
      <c r="B279" s="99"/>
      <c r="C279" s="119"/>
      <c r="D279" s="119"/>
      <c r="E279" s="119"/>
      <c r="F279" s="120"/>
      <c r="G279" s="120"/>
      <c r="H279" s="99"/>
      <c r="I279" s="99"/>
      <c r="J279" s="99"/>
      <c r="K279" s="99"/>
      <c r="L279" s="99"/>
      <c r="M279" s="99"/>
      <c r="N279" s="99"/>
      <c r="O279" s="99"/>
      <c r="P279" s="99"/>
      <c r="Q279" s="99"/>
      <c r="R279" s="99"/>
      <c r="S279" s="99"/>
      <c r="T279" s="99"/>
      <c r="U279" s="99"/>
      <c r="V279" s="99"/>
      <c r="W279" s="99"/>
      <c r="X279" s="99"/>
      <c r="Y279" s="99"/>
      <c r="Z279" s="99"/>
      <c r="AA279" s="99"/>
      <c r="AB279" s="99"/>
      <c r="AC279" s="99"/>
    </row>
    <row r="280" spans="2:29">
      <c r="B280" s="99"/>
      <c r="C280" s="119"/>
      <c r="D280" s="119"/>
      <c r="E280" s="119"/>
      <c r="F280" s="120"/>
      <c r="G280" s="120"/>
      <c r="H280" s="99"/>
      <c r="I280" s="99"/>
      <c r="J280" s="99"/>
      <c r="K280" s="99"/>
      <c r="L280" s="99"/>
      <c r="M280" s="99"/>
      <c r="N280" s="99"/>
      <c r="O280" s="99"/>
      <c r="P280" s="99"/>
      <c r="Q280" s="99"/>
      <c r="R280" s="99"/>
      <c r="S280" s="99"/>
      <c r="T280" s="99"/>
      <c r="U280" s="99"/>
      <c r="V280" s="99"/>
      <c r="W280" s="99"/>
      <c r="X280" s="99"/>
      <c r="Y280" s="99"/>
      <c r="Z280" s="99"/>
      <c r="AA280" s="99"/>
      <c r="AB280" s="99"/>
      <c r="AC280" s="99"/>
    </row>
    <row r="281" spans="2:29">
      <c r="B281" s="99"/>
      <c r="C281" s="119"/>
      <c r="D281" s="119"/>
      <c r="E281" s="119"/>
      <c r="F281" s="120"/>
      <c r="G281" s="120"/>
      <c r="H281" s="99"/>
      <c r="I281" s="99"/>
      <c r="J281" s="99"/>
      <c r="K281" s="99"/>
      <c r="L281" s="99"/>
      <c r="M281" s="99"/>
      <c r="N281" s="99"/>
      <c r="O281" s="99"/>
      <c r="P281" s="99"/>
      <c r="Q281" s="99"/>
      <c r="R281" s="99"/>
      <c r="S281" s="99"/>
      <c r="T281" s="99"/>
      <c r="U281" s="99"/>
      <c r="V281" s="99"/>
      <c r="W281" s="99"/>
      <c r="X281" s="99"/>
      <c r="Y281" s="99"/>
      <c r="Z281" s="99"/>
      <c r="AA281" s="99"/>
      <c r="AB281" s="99"/>
      <c r="AC281" s="99"/>
    </row>
    <row r="282" spans="2:29">
      <c r="B282" s="99"/>
      <c r="C282" s="119"/>
      <c r="D282" s="119"/>
      <c r="E282" s="119"/>
      <c r="F282" s="120"/>
      <c r="G282" s="120"/>
      <c r="H282" s="99"/>
      <c r="I282" s="99"/>
      <c r="J282" s="99"/>
      <c r="K282" s="99"/>
      <c r="L282" s="99"/>
      <c r="M282" s="99"/>
      <c r="N282" s="99"/>
      <c r="O282" s="99"/>
      <c r="P282" s="99"/>
      <c r="Q282" s="99"/>
      <c r="R282" s="99"/>
      <c r="S282" s="99"/>
      <c r="T282" s="99"/>
      <c r="U282" s="99"/>
      <c r="V282" s="99"/>
      <c r="W282" s="99"/>
      <c r="X282" s="99"/>
      <c r="Y282" s="99"/>
      <c r="Z282" s="99"/>
      <c r="AA282" s="99"/>
      <c r="AB282" s="99"/>
      <c r="AC282" s="99"/>
    </row>
    <row r="283" spans="2:29">
      <c r="B283" s="99"/>
      <c r="C283" s="119"/>
      <c r="D283" s="119"/>
      <c r="E283" s="119"/>
      <c r="F283" s="120"/>
      <c r="G283" s="120"/>
      <c r="H283" s="99"/>
      <c r="I283" s="99"/>
      <c r="J283" s="99"/>
      <c r="K283" s="99"/>
      <c r="L283" s="99"/>
      <c r="M283" s="99"/>
      <c r="N283" s="99"/>
      <c r="O283" s="99"/>
      <c r="P283" s="99"/>
      <c r="Q283" s="99"/>
      <c r="R283" s="99"/>
      <c r="S283" s="99"/>
      <c r="T283" s="99"/>
      <c r="U283" s="99"/>
      <c r="V283" s="99"/>
      <c r="W283" s="99"/>
      <c r="X283" s="99"/>
      <c r="Y283" s="99"/>
      <c r="Z283" s="99"/>
      <c r="AA283" s="99"/>
      <c r="AB283" s="99"/>
      <c r="AC283" s="99"/>
    </row>
    <row r="284" spans="2:29">
      <c r="B284" s="99"/>
      <c r="C284" s="119"/>
      <c r="D284" s="119"/>
      <c r="E284" s="119"/>
      <c r="F284" s="120"/>
      <c r="G284" s="120"/>
      <c r="H284" s="99"/>
      <c r="I284" s="99"/>
      <c r="J284" s="99"/>
      <c r="K284" s="99"/>
      <c r="L284" s="99"/>
      <c r="M284" s="99"/>
      <c r="N284" s="99"/>
      <c r="O284" s="99"/>
      <c r="P284" s="99"/>
      <c r="Q284" s="99"/>
      <c r="R284" s="99"/>
      <c r="S284" s="99"/>
      <c r="T284" s="99"/>
      <c r="U284" s="99"/>
      <c r="V284" s="99"/>
      <c r="W284" s="99"/>
      <c r="X284" s="99"/>
      <c r="Y284" s="99"/>
      <c r="Z284" s="99"/>
      <c r="AA284" s="99"/>
      <c r="AB284" s="99"/>
      <c r="AC284" s="99"/>
    </row>
    <row r="285" spans="2:29">
      <c r="B285" s="99"/>
      <c r="C285" s="119"/>
      <c r="D285" s="119"/>
      <c r="E285" s="119"/>
      <c r="F285" s="120"/>
      <c r="G285" s="120"/>
      <c r="H285" s="99"/>
      <c r="I285" s="99"/>
      <c r="J285" s="99"/>
      <c r="K285" s="99"/>
      <c r="L285" s="99"/>
      <c r="M285" s="99"/>
      <c r="N285" s="99"/>
      <c r="O285" s="99"/>
      <c r="P285" s="99"/>
      <c r="Q285" s="99"/>
      <c r="R285" s="99"/>
      <c r="S285" s="99"/>
      <c r="T285" s="99"/>
      <c r="U285" s="99"/>
      <c r="V285" s="99"/>
      <c r="W285" s="99"/>
      <c r="X285" s="99"/>
      <c r="Y285" s="99"/>
      <c r="Z285" s="99"/>
      <c r="AA285" s="99"/>
      <c r="AB285" s="99"/>
      <c r="AC285" s="99"/>
    </row>
    <row r="286" spans="2:29">
      <c r="B286" s="99"/>
      <c r="C286" s="119"/>
      <c r="D286" s="119"/>
      <c r="E286" s="119"/>
      <c r="F286" s="120"/>
      <c r="G286" s="120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99"/>
      <c r="S286" s="99"/>
      <c r="T286" s="99"/>
      <c r="U286" s="99"/>
      <c r="V286" s="99"/>
      <c r="W286" s="99"/>
      <c r="X286" s="99"/>
      <c r="Y286" s="99"/>
      <c r="Z286" s="99"/>
      <c r="AA286" s="99"/>
      <c r="AB286" s="99"/>
      <c r="AC286" s="99"/>
    </row>
  </sheetData>
  <mergeCells count="40">
    <mergeCell ref="B101:H101"/>
    <mergeCell ref="B102:I102"/>
    <mergeCell ref="B98:F98"/>
    <mergeCell ref="G98:I98"/>
    <mergeCell ref="C99:D99"/>
    <mergeCell ref="E99:F99"/>
    <mergeCell ref="G99:I99"/>
    <mergeCell ref="B96:F96"/>
    <mergeCell ref="G96:I96"/>
    <mergeCell ref="C97:D97"/>
    <mergeCell ref="E97:F97"/>
    <mergeCell ref="G97:I97"/>
    <mergeCell ref="B94:F94"/>
    <mergeCell ref="G94:I94"/>
    <mergeCell ref="C95:D95"/>
    <mergeCell ref="E95:F95"/>
    <mergeCell ref="G95:I95"/>
    <mergeCell ref="B92:F92"/>
    <mergeCell ref="G92:I92"/>
    <mergeCell ref="C93:D93"/>
    <mergeCell ref="E93:F93"/>
    <mergeCell ref="G93:I93"/>
    <mergeCell ref="B76:G76"/>
    <mergeCell ref="B86:E86"/>
    <mergeCell ref="B87:E87"/>
    <mergeCell ref="B90:I90"/>
    <mergeCell ref="C91:D91"/>
    <mergeCell ref="E91:F91"/>
    <mergeCell ref="G91:I91"/>
    <mergeCell ref="B5:F5"/>
    <mergeCell ref="G5:I5"/>
    <mergeCell ref="B75:G75"/>
    <mergeCell ref="B60:F60"/>
    <mergeCell ref="B61:F61"/>
    <mergeCell ref="B1:I1"/>
    <mergeCell ref="B2:I2"/>
    <mergeCell ref="B3:F3"/>
    <mergeCell ref="G3:I3"/>
    <mergeCell ref="B4:F4"/>
    <mergeCell ref="G4:I4"/>
  </mergeCells>
  <pageMargins left="0" right="0" top="0" bottom="0" header="0" footer="0"/>
  <pageSetup paperSize="9" scale="60" orientation="portrait" r:id="rId1"/>
  <headerFooter>
    <oddHeader>&amp;C&amp;A</oddHeader>
    <oddFooter>&amp;CPágina &amp;P</oddFooter>
  </headerFooter>
  <rowBreaks count="1" manualBreakCount="1">
    <brk id="62" max="9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RESUMO</vt:lpstr>
      <vt:lpstr>Servente 20%</vt:lpstr>
      <vt:lpstr>Servente 40%</vt:lpstr>
      <vt:lpstr>INSUMOS</vt:lpstr>
      <vt:lpstr>INSUMOS!Area_de_impressao</vt:lpstr>
      <vt:lpstr>RESUMO!Area_de_impressao</vt:lpstr>
      <vt:lpstr>'Servente 20%'!Area_de_impressao</vt:lpstr>
      <vt:lpstr>'Servente 40%'!Area_de_impressao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Mauren Correa</dc:creator>
  <dc:description/>
  <cp:lastModifiedBy>Rafael Remedi</cp:lastModifiedBy>
  <cp:revision>19</cp:revision>
  <cp:lastPrinted>2024-08-08T19:53:33Z</cp:lastPrinted>
  <dcterms:created xsi:type="dcterms:W3CDTF">2021-08-04T16:02:44Z</dcterms:created>
  <dcterms:modified xsi:type="dcterms:W3CDTF">2024-08-08T19:53:55Z</dcterms:modified>
  <dc:language>pt-BR</dc:language>
</cp:coreProperties>
</file>